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pilarczyk\Documents\Work\Hill Engineering\ERSI\Round Robin\"/>
    </mc:Choice>
  </mc:AlternateContent>
  <xr:revisionPtr revIDLastSave="0" documentId="13_ncr:1_{EA1BCF9F-C4FC-40D1-B5B1-2B76D7754CDC}" xr6:coauthVersionLast="45" xr6:coauthVersionMax="45" xr10:uidLastSave="{00000000-0000-0000-0000-000000000000}"/>
  <bookViews>
    <workbookView xWindow="28680" yWindow="-120" windowWidth="29040" windowHeight="15840" tabRatio="880" firstSheet="16" activeTab="23" xr2:uid="{00000000-000D-0000-FFFF-FFFF00000000}"/>
  </bookViews>
  <sheets>
    <sheet name="Matrix" sheetId="1" r:id="rId1"/>
    <sheet name="Case 1 Plots" sheetId="22" r:id="rId2"/>
    <sheet name="Case 1 Aspect Ratio" sheetId="27" r:id="rId3"/>
    <sheet name="NCX2024-3" sheetId="2" r:id="rId4"/>
    <sheet name="NCX2024-4" sheetId="3" r:id="rId5"/>
    <sheet name="Case 2 Plots" sheetId="24" r:id="rId6"/>
    <sheet name="Case 2 Aspect Ratio" sheetId="28" r:id="rId7"/>
    <sheet name="CX2024-2" sheetId="23" r:id="rId8"/>
    <sheet name="CX2024-4" sheetId="4" r:id="rId9"/>
    <sheet name="CX2024-5" sheetId="5" r:id="rId10"/>
    <sheet name="CX2024-6" sheetId="6" r:id="rId11"/>
    <sheet name="CX2024-11" sheetId="7" r:id="rId12"/>
    <sheet name="CX2024-12" sheetId="8" r:id="rId13"/>
    <sheet name="CX2024-13" sheetId="9" r:id="rId14"/>
    <sheet name="CX2024-14" sheetId="10" r:id="rId15"/>
    <sheet name="CX2024-15" sheetId="11" r:id="rId16"/>
    <sheet name="Case 3 Plots" sheetId="20" r:id="rId17"/>
    <sheet name="Case 3 Aspect Ratio" sheetId="29" r:id="rId18"/>
    <sheet name="Case 3 Plots a-direction" sheetId="21" r:id="rId19"/>
    <sheet name="OFF-NCX2024-1" sheetId="12" r:id="rId20"/>
    <sheet name="OFF-NCX2024-2" sheetId="13" r:id="rId21"/>
    <sheet name="OFF-NCX2024-3" sheetId="14" r:id="rId22"/>
    <sheet name="OFF-NCX2024-4" sheetId="15" r:id="rId23"/>
    <sheet name="Case 4 Plots" sheetId="25" r:id="rId24"/>
    <sheet name="OFF-CX2024-3" sheetId="16" r:id="rId25"/>
    <sheet name="OFF-CX2024-4" sheetId="17" r:id="rId26"/>
    <sheet name="OFF-CX2024-7" sheetId="18" r:id="rId27"/>
    <sheet name="OFF-CX2024-8" sheetId="19" r:id="rId28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5" l="1"/>
  <c r="N18" i="18"/>
  <c r="M19" i="19"/>
  <c r="M20" i="2"/>
  <c r="N16" i="12" l="1"/>
  <c r="M16" i="12"/>
  <c r="I23" i="19" l="1"/>
  <c r="J23" i="19"/>
  <c r="M28" i="19"/>
  <c r="M27" i="19"/>
  <c r="M26" i="19"/>
  <c r="M25" i="19"/>
  <c r="M24" i="19"/>
  <c r="N23" i="19"/>
  <c r="M23" i="19"/>
  <c r="N22" i="19"/>
  <c r="M22" i="19"/>
  <c r="N21" i="19"/>
  <c r="M21" i="19"/>
  <c r="N20" i="19"/>
  <c r="M20" i="19"/>
  <c r="N30" i="18"/>
  <c r="N31" i="18"/>
  <c r="M32" i="18"/>
  <c r="I31" i="18"/>
  <c r="J31" i="18"/>
  <c r="M31" i="18"/>
  <c r="M30" i="18"/>
  <c r="N29" i="18"/>
  <c r="M29" i="18"/>
  <c r="N28" i="18"/>
  <c r="M28" i="18"/>
  <c r="N27" i="18"/>
  <c r="M27" i="18"/>
  <c r="N26" i="18"/>
  <c r="M26" i="18"/>
  <c r="N25" i="18"/>
  <c r="M25" i="18"/>
  <c r="N24" i="18"/>
  <c r="M24" i="18"/>
  <c r="N23" i="18"/>
  <c r="M23" i="18"/>
  <c r="N22" i="18"/>
  <c r="M22" i="18"/>
  <c r="N21" i="18"/>
  <c r="M21" i="18"/>
  <c r="N20" i="18"/>
  <c r="M20" i="18"/>
  <c r="N19" i="18"/>
  <c r="M19" i="18"/>
  <c r="M18" i="18"/>
  <c r="N27" i="17"/>
  <c r="N28" i="17"/>
  <c r="N29" i="17"/>
  <c r="N30" i="17"/>
  <c r="N31" i="17"/>
  <c r="M30" i="17"/>
  <c r="M31" i="17"/>
  <c r="M32" i="17"/>
  <c r="M33" i="17"/>
  <c r="I31" i="17"/>
  <c r="J31" i="17"/>
  <c r="M29" i="17"/>
  <c r="M28" i="17"/>
  <c r="M27" i="17"/>
  <c r="N26" i="17"/>
  <c r="M26" i="17"/>
  <c r="N25" i="17"/>
  <c r="M25" i="17"/>
  <c r="N24" i="17"/>
  <c r="M24" i="17"/>
  <c r="N23" i="17"/>
  <c r="M23" i="17"/>
  <c r="N22" i="17"/>
  <c r="M22" i="17"/>
  <c r="N21" i="17"/>
  <c r="M21" i="17"/>
  <c r="M20" i="17"/>
  <c r="N20" i="16"/>
  <c r="N21" i="16"/>
  <c r="N22" i="16"/>
  <c r="N23" i="16"/>
  <c r="N24" i="16"/>
  <c r="N25" i="16"/>
  <c r="I25" i="16"/>
  <c r="J25" i="16"/>
  <c r="M20" i="16"/>
  <c r="M21" i="16"/>
  <c r="M22" i="16"/>
  <c r="M23" i="16"/>
  <c r="M24" i="16"/>
  <c r="M25" i="16"/>
  <c r="M26" i="16"/>
  <c r="M27" i="16"/>
  <c r="M28" i="16"/>
  <c r="M19" i="16"/>
  <c r="I31" i="15"/>
  <c r="J31" i="15"/>
  <c r="M34" i="15"/>
  <c r="M33" i="15"/>
  <c r="M32" i="15"/>
  <c r="N31" i="15"/>
  <c r="M31" i="15"/>
  <c r="N30" i="15"/>
  <c r="M30" i="15"/>
  <c r="N29" i="15"/>
  <c r="M29" i="15"/>
  <c r="N28" i="15"/>
  <c r="M28" i="15"/>
  <c r="N27" i="15"/>
  <c r="M27" i="15"/>
  <c r="N26" i="15"/>
  <c r="M26" i="15"/>
  <c r="N25" i="15"/>
  <c r="M25" i="15"/>
  <c r="N24" i="15"/>
  <c r="M24" i="15"/>
  <c r="N23" i="15"/>
  <c r="M23" i="15"/>
  <c r="N22" i="15"/>
  <c r="M22" i="15"/>
  <c r="N21" i="15"/>
  <c r="M21" i="15"/>
  <c r="N20" i="15"/>
  <c r="M20" i="15"/>
  <c r="M19" i="15"/>
  <c r="M40" i="14"/>
  <c r="M41" i="14"/>
  <c r="I34" i="14"/>
  <c r="J34" i="14"/>
  <c r="M39" i="14"/>
  <c r="M38" i="14"/>
  <c r="M37" i="14"/>
  <c r="M36" i="14"/>
  <c r="M35" i="14"/>
  <c r="N34" i="14"/>
  <c r="M34" i="14"/>
  <c r="N33" i="14"/>
  <c r="M33" i="14"/>
  <c r="N32" i="14"/>
  <c r="M32" i="14"/>
  <c r="N31" i="14"/>
  <c r="M31" i="14"/>
  <c r="N30" i="14"/>
  <c r="M30" i="14"/>
  <c r="N29" i="14"/>
  <c r="M29" i="14"/>
  <c r="N28" i="14"/>
  <c r="M28" i="14"/>
  <c r="N27" i="14"/>
  <c r="M27" i="14"/>
  <c r="N26" i="14"/>
  <c r="M26" i="14"/>
  <c r="N25" i="14"/>
  <c r="M25" i="14"/>
  <c r="N24" i="14"/>
  <c r="M24" i="14"/>
  <c r="N23" i="14"/>
  <c r="M23" i="14"/>
  <c r="N22" i="14"/>
  <c r="M22" i="14"/>
  <c r="N21" i="14"/>
  <c r="M21" i="14"/>
  <c r="N20" i="14"/>
  <c r="M20" i="14"/>
  <c r="M38" i="13"/>
  <c r="N36" i="13"/>
  <c r="N37" i="13"/>
  <c r="I37" i="13"/>
  <c r="J37" i="13"/>
  <c r="M37" i="13"/>
  <c r="M36" i="13"/>
  <c r="N35" i="13"/>
  <c r="M35" i="13"/>
  <c r="N34" i="13"/>
  <c r="M34" i="13"/>
  <c r="N33" i="13"/>
  <c r="M33" i="13"/>
  <c r="N32" i="13"/>
  <c r="M32" i="13"/>
  <c r="N31" i="13"/>
  <c r="M31" i="13"/>
  <c r="N30" i="13"/>
  <c r="M30" i="13"/>
  <c r="N29" i="13"/>
  <c r="M29" i="13"/>
  <c r="N28" i="13"/>
  <c r="M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M19" i="13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I22" i="11"/>
  <c r="J22" i="11"/>
  <c r="M35" i="11"/>
  <c r="M36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N22" i="11"/>
  <c r="M22" i="11"/>
  <c r="N21" i="11"/>
  <c r="M21" i="11"/>
  <c r="N20" i="11"/>
  <c r="M20" i="11"/>
  <c r="N19" i="11"/>
  <c r="M19" i="11"/>
  <c r="M18" i="11"/>
  <c r="M34" i="10"/>
  <c r="I22" i="10"/>
  <c r="J22" i="10"/>
  <c r="M33" i="10"/>
  <c r="M32" i="10"/>
  <c r="M31" i="10"/>
  <c r="M30" i="10"/>
  <c r="M29" i="10"/>
  <c r="M28" i="10"/>
  <c r="M27" i="10"/>
  <c r="M26" i="10"/>
  <c r="M25" i="10"/>
  <c r="M24" i="10"/>
  <c r="M23" i="10"/>
  <c r="N22" i="10"/>
  <c r="M22" i="10"/>
  <c r="N21" i="10"/>
  <c r="M21" i="10"/>
  <c r="N20" i="10"/>
  <c r="M20" i="10"/>
  <c r="N19" i="10"/>
  <c r="M19" i="10"/>
  <c r="M18" i="10"/>
  <c r="M35" i="9"/>
  <c r="I23" i="9"/>
  <c r="J23" i="9"/>
  <c r="M34" i="9"/>
  <c r="M33" i="9"/>
  <c r="M32" i="9"/>
  <c r="M31" i="9"/>
  <c r="M30" i="9"/>
  <c r="M29" i="9"/>
  <c r="M28" i="9"/>
  <c r="M27" i="9"/>
  <c r="M26" i="9"/>
  <c r="M25" i="9"/>
  <c r="M24" i="9"/>
  <c r="N23" i="9"/>
  <c r="M23" i="9"/>
  <c r="N22" i="9"/>
  <c r="M22" i="9"/>
  <c r="N21" i="9"/>
  <c r="M21" i="9"/>
  <c r="N20" i="9"/>
  <c r="M20" i="9"/>
  <c r="N19" i="9"/>
  <c r="M19" i="9"/>
  <c r="M18" i="9"/>
  <c r="N23" i="8"/>
  <c r="N25" i="8"/>
  <c r="I25" i="8"/>
  <c r="J25" i="8"/>
  <c r="M34" i="8"/>
  <c r="M33" i="8"/>
  <c r="M32" i="8"/>
  <c r="M31" i="8"/>
  <c r="M30" i="8"/>
  <c r="M29" i="8"/>
  <c r="M28" i="8"/>
  <c r="M27" i="8"/>
  <c r="M26" i="8"/>
  <c r="M25" i="8"/>
  <c r="M24" i="8"/>
  <c r="M23" i="8"/>
  <c r="N22" i="8"/>
  <c r="M22" i="8"/>
  <c r="N21" i="8"/>
  <c r="M21" i="8"/>
  <c r="N20" i="8"/>
  <c r="M20" i="8"/>
  <c r="N19" i="8"/>
  <c r="M19" i="8"/>
  <c r="M18" i="8"/>
  <c r="M18" i="7"/>
  <c r="N21" i="7"/>
  <c r="I22" i="7"/>
  <c r="J22" i="7"/>
  <c r="M34" i="7"/>
  <c r="M33" i="7"/>
  <c r="M32" i="7"/>
  <c r="M31" i="7"/>
  <c r="M30" i="7"/>
  <c r="M29" i="7"/>
  <c r="M28" i="7"/>
  <c r="M27" i="7"/>
  <c r="M26" i="7"/>
  <c r="M25" i="7"/>
  <c r="M24" i="7"/>
  <c r="M23" i="7"/>
  <c r="N22" i="7"/>
  <c r="M22" i="7"/>
  <c r="M21" i="7"/>
  <c r="N20" i="7"/>
  <c r="M20" i="7"/>
  <c r="N19" i="7"/>
  <c r="M19" i="7"/>
  <c r="N23" i="6"/>
  <c r="N19" i="6"/>
  <c r="N20" i="6"/>
  <c r="N21" i="6"/>
  <c r="N22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5" i="5"/>
  <c r="M18" i="5"/>
  <c r="N18" i="5"/>
  <c r="M19" i="5"/>
  <c r="N19" i="5"/>
  <c r="M20" i="5"/>
  <c r="N20" i="5"/>
  <c r="M21" i="5"/>
  <c r="N21" i="5"/>
  <c r="M22" i="5"/>
  <c r="N22" i="5"/>
  <c r="M23" i="5"/>
  <c r="M24" i="5"/>
  <c r="M25" i="5"/>
  <c r="M26" i="5"/>
  <c r="M27" i="5"/>
  <c r="M28" i="5"/>
  <c r="M29" i="5"/>
  <c r="M30" i="5"/>
  <c r="M31" i="5"/>
  <c r="M32" i="5"/>
  <c r="M33" i="5"/>
  <c r="M34" i="5"/>
  <c r="M36" i="4"/>
  <c r="M17" i="4"/>
  <c r="M18" i="4"/>
  <c r="N18" i="4"/>
  <c r="M19" i="4"/>
  <c r="N19" i="4"/>
  <c r="M20" i="4"/>
  <c r="N20" i="4"/>
  <c r="M21" i="4"/>
  <c r="N21" i="4"/>
  <c r="M22" i="4"/>
  <c r="N22" i="4"/>
  <c r="M23" i="4"/>
  <c r="N23" i="4"/>
  <c r="M24" i="4"/>
  <c r="M25" i="4"/>
  <c r="M26" i="4"/>
  <c r="M27" i="4"/>
  <c r="M28" i="4"/>
  <c r="M29" i="4"/>
  <c r="M30" i="4"/>
  <c r="M31" i="4"/>
  <c r="M32" i="4"/>
  <c r="M33" i="4"/>
  <c r="M34" i="4"/>
  <c r="M35" i="4"/>
  <c r="I23" i="6"/>
  <c r="J23" i="6"/>
  <c r="I22" i="5"/>
  <c r="J22" i="5"/>
  <c r="I22" i="4"/>
  <c r="J22" i="4"/>
  <c r="N18" i="23"/>
  <c r="N19" i="23"/>
  <c r="N20" i="23"/>
  <c r="N21" i="23"/>
  <c r="N22" i="23"/>
  <c r="N23" i="23"/>
  <c r="N24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17" i="23"/>
  <c r="I24" i="23"/>
  <c r="J24" i="23"/>
  <c r="N21" i="3" l="1"/>
  <c r="N22" i="3"/>
  <c r="N23" i="3"/>
  <c r="N24" i="3"/>
  <c r="N25" i="3"/>
  <c r="N26" i="3"/>
  <c r="N27" i="3"/>
  <c r="N28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20" i="3"/>
  <c r="L28" i="3"/>
  <c r="I28" i="3"/>
  <c r="J28" i="3"/>
  <c r="L21" i="3"/>
  <c r="L22" i="3"/>
  <c r="L23" i="3"/>
  <c r="L24" i="3"/>
  <c r="L25" i="3"/>
  <c r="L26" i="3"/>
  <c r="L27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I28" i="2"/>
  <c r="J28" i="2"/>
  <c r="N21" i="2"/>
  <c r="N22" i="2"/>
  <c r="N23" i="2"/>
  <c r="N24" i="2"/>
  <c r="N25" i="2"/>
  <c r="N26" i="2"/>
  <c r="N27" i="2"/>
  <c r="N28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B19" i="19" l="1"/>
  <c r="K19" i="19" s="1"/>
  <c r="B20" i="19"/>
  <c r="B21" i="19"/>
  <c r="B22" i="19"/>
  <c r="B23" i="19"/>
  <c r="B24" i="19"/>
  <c r="B25" i="19"/>
  <c r="B26" i="19"/>
  <c r="B27" i="19"/>
  <c r="B28" i="19"/>
  <c r="B17" i="19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K32" i="18" s="1"/>
  <c r="B33" i="18"/>
  <c r="B17" i="18"/>
  <c r="B18" i="17"/>
  <c r="B20" i="17"/>
  <c r="K20" i="17" s="1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17" i="17"/>
  <c r="B19" i="16"/>
  <c r="B20" i="16"/>
  <c r="B21" i="16"/>
  <c r="B22" i="16"/>
  <c r="B23" i="16"/>
  <c r="B24" i="16"/>
  <c r="B25" i="16"/>
  <c r="B26" i="16"/>
  <c r="B27" i="16"/>
  <c r="B28" i="16"/>
  <c r="B29" i="16"/>
  <c r="B17" i="16"/>
  <c r="G18" i="19"/>
  <c r="N19" i="19" s="1"/>
  <c r="A18" i="19"/>
  <c r="J18" i="17"/>
  <c r="J20" i="17"/>
  <c r="J21" i="17"/>
  <c r="J22" i="17"/>
  <c r="J23" i="17"/>
  <c r="J24" i="17"/>
  <c r="J25" i="17"/>
  <c r="J26" i="17"/>
  <c r="J27" i="17"/>
  <c r="J28" i="17"/>
  <c r="J29" i="17"/>
  <c r="J30" i="17"/>
  <c r="J17" i="17"/>
  <c r="G19" i="17"/>
  <c r="N20" i="17" s="1"/>
  <c r="I18" i="17"/>
  <c r="I20" i="17"/>
  <c r="I21" i="17"/>
  <c r="I22" i="17"/>
  <c r="I23" i="17"/>
  <c r="I24" i="17"/>
  <c r="I25" i="17"/>
  <c r="I26" i="17"/>
  <c r="I27" i="17"/>
  <c r="I28" i="17"/>
  <c r="I29" i="17"/>
  <c r="I30" i="17"/>
  <c r="G18" i="16"/>
  <c r="J17" i="16"/>
  <c r="I17" i="16"/>
  <c r="A19" i="17"/>
  <c r="I17" i="17"/>
  <c r="J20" i="16"/>
  <c r="J21" i="16"/>
  <c r="J22" i="16"/>
  <c r="J23" i="16"/>
  <c r="J24" i="16"/>
  <c r="J19" i="16"/>
  <c r="I20" i="16"/>
  <c r="I21" i="16"/>
  <c r="I22" i="16"/>
  <c r="I23" i="16"/>
  <c r="I24" i="16"/>
  <c r="I19" i="16"/>
  <c r="A18" i="16"/>
  <c r="J17" i="19"/>
  <c r="J19" i="19"/>
  <c r="J20" i="19"/>
  <c r="J21" i="19"/>
  <c r="J22" i="19"/>
  <c r="J16" i="19"/>
  <c r="I17" i="19"/>
  <c r="I19" i="19"/>
  <c r="I20" i="19"/>
  <c r="I21" i="19"/>
  <c r="I22" i="19"/>
  <c r="I16" i="19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16" i="18"/>
  <c r="B16" i="11"/>
  <c r="B18" i="11"/>
  <c r="K18" i="11" s="1"/>
  <c r="B19" i="11"/>
  <c r="B20" i="11"/>
  <c r="B21" i="11"/>
  <c r="B22" i="11"/>
  <c r="B23" i="11"/>
  <c r="B24" i="11"/>
  <c r="B25" i="11"/>
  <c r="B26" i="11"/>
  <c r="K26" i="11" s="1"/>
  <c r="B27" i="11"/>
  <c r="B28" i="11"/>
  <c r="B29" i="11"/>
  <c r="K29" i="11" s="1"/>
  <c r="B30" i="11"/>
  <c r="K30" i="11" s="1"/>
  <c r="B31" i="11"/>
  <c r="B32" i="11"/>
  <c r="B33" i="11"/>
  <c r="B34" i="11"/>
  <c r="K34" i="11" s="1"/>
  <c r="B35" i="11"/>
  <c r="B36" i="11"/>
  <c r="B37" i="11"/>
  <c r="B15" i="11"/>
  <c r="G17" i="11"/>
  <c r="J17" i="11" s="1"/>
  <c r="J16" i="11"/>
  <c r="J18" i="11"/>
  <c r="J19" i="11"/>
  <c r="J20" i="11"/>
  <c r="J21" i="11"/>
  <c r="J15" i="11"/>
  <c r="I16" i="11"/>
  <c r="I18" i="11"/>
  <c r="I19" i="11"/>
  <c r="I20" i="11"/>
  <c r="I21" i="11"/>
  <c r="I15" i="11"/>
  <c r="A17" i="11"/>
  <c r="B16" i="10"/>
  <c r="B18" i="10"/>
  <c r="K18" i="10" s="1"/>
  <c r="B19" i="10"/>
  <c r="B20" i="10"/>
  <c r="B21" i="10"/>
  <c r="B22" i="10"/>
  <c r="B23" i="10"/>
  <c r="B24" i="10"/>
  <c r="K24" i="10" s="1"/>
  <c r="B25" i="10"/>
  <c r="B26" i="10"/>
  <c r="K26" i="10" s="1"/>
  <c r="B27" i="10"/>
  <c r="B28" i="10"/>
  <c r="K28" i="10" s="1"/>
  <c r="B29" i="10"/>
  <c r="B30" i="10"/>
  <c r="K30" i="10" s="1"/>
  <c r="B31" i="10"/>
  <c r="B32" i="10"/>
  <c r="K32" i="10" s="1"/>
  <c r="B33" i="10"/>
  <c r="B34" i="10"/>
  <c r="K34" i="10" s="1"/>
  <c r="B35" i="10"/>
  <c r="B15" i="10"/>
  <c r="G17" i="10"/>
  <c r="J17" i="10"/>
  <c r="J16" i="10"/>
  <c r="J18" i="10"/>
  <c r="J19" i="10"/>
  <c r="J20" i="10"/>
  <c r="J21" i="10"/>
  <c r="J15" i="10"/>
  <c r="I16" i="10"/>
  <c r="I17" i="10"/>
  <c r="I18" i="10"/>
  <c r="I19" i="10"/>
  <c r="I20" i="10"/>
  <c r="I21" i="10"/>
  <c r="I15" i="10"/>
  <c r="A17" i="10"/>
  <c r="B16" i="9"/>
  <c r="B18" i="9"/>
  <c r="K18" i="9" s="1"/>
  <c r="B19" i="9"/>
  <c r="B20" i="9"/>
  <c r="B21" i="9"/>
  <c r="B22" i="9"/>
  <c r="B23" i="9"/>
  <c r="B24" i="9"/>
  <c r="K24" i="9" s="1"/>
  <c r="B25" i="9"/>
  <c r="B26" i="9"/>
  <c r="K26" i="9" s="1"/>
  <c r="B27" i="9"/>
  <c r="B28" i="9"/>
  <c r="K28" i="9" s="1"/>
  <c r="B29" i="9"/>
  <c r="B30" i="9"/>
  <c r="K30" i="9" s="1"/>
  <c r="B31" i="9"/>
  <c r="B32" i="9"/>
  <c r="K32" i="9" s="1"/>
  <c r="B33" i="9"/>
  <c r="B34" i="9"/>
  <c r="K34" i="9" s="1"/>
  <c r="B35" i="9"/>
  <c r="B36" i="9"/>
  <c r="B15" i="9"/>
  <c r="G17" i="9"/>
  <c r="J17" i="9" s="1"/>
  <c r="J16" i="9"/>
  <c r="J18" i="9"/>
  <c r="J19" i="9"/>
  <c r="J20" i="9"/>
  <c r="J21" i="9"/>
  <c r="J22" i="9"/>
  <c r="J15" i="9"/>
  <c r="I16" i="9"/>
  <c r="I17" i="9"/>
  <c r="I18" i="9"/>
  <c r="I19" i="9"/>
  <c r="I20" i="9"/>
  <c r="I21" i="9"/>
  <c r="I22" i="9"/>
  <c r="I15" i="9"/>
  <c r="A17" i="9"/>
  <c r="B16" i="8"/>
  <c r="B18" i="8"/>
  <c r="K18" i="8" s="1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K31" i="8" s="1"/>
  <c r="B32" i="8"/>
  <c r="B33" i="8"/>
  <c r="K33" i="8" s="1"/>
  <c r="B34" i="8"/>
  <c r="B35" i="8"/>
  <c r="B15" i="8"/>
  <c r="G17" i="8"/>
  <c r="J16" i="8"/>
  <c r="J18" i="8"/>
  <c r="J19" i="8"/>
  <c r="J20" i="8"/>
  <c r="J21" i="8"/>
  <c r="J22" i="8"/>
  <c r="J23" i="8"/>
  <c r="J24" i="8"/>
  <c r="J15" i="8"/>
  <c r="I16" i="8"/>
  <c r="I17" i="8"/>
  <c r="I18" i="8"/>
  <c r="I19" i="8"/>
  <c r="I20" i="8"/>
  <c r="I21" i="8"/>
  <c r="I22" i="8"/>
  <c r="I23" i="8"/>
  <c r="I24" i="8"/>
  <c r="I15" i="8"/>
  <c r="A17" i="8"/>
  <c r="B16" i="7"/>
  <c r="B18" i="7"/>
  <c r="K18" i="7" s="1"/>
  <c r="B19" i="7"/>
  <c r="B20" i="7"/>
  <c r="B21" i="7"/>
  <c r="B22" i="7"/>
  <c r="B23" i="7"/>
  <c r="B24" i="7"/>
  <c r="K24" i="7" s="1"/>
  <c r="B25" i="7"/>
  <c r="K25" i="7" s="1"/>
  <c r="B26" i="7"/>
  <c r="B27" i="7"/>
  <c r="B28" i="7"/>
  <c r="B29" i="7"/>
  <c r="K29" i="7" s="1"/>
  <c r="B30" i="7"/>
  <c r="K30" i="7" s="1"/>
  <c r="B31" i="7"/>
  <c r="B32" i="7"/>
  <c r="K32" i="7" s="1"/>
  <c r="B33" i="7"/>
  <c r="K33" i="7" s="1"/>
  <c r="B34" i="7"/>
  <c r="B35" i="7"/>
  <c r="B15" i="7"/>
  <c r="G17" i="7"/>
  <c r="I17" i="7"/>
  <c r="A17" i="7"/>
  <c r="J16" i="7"/>
  <c r="J18" i="7"/>
  <c r="J19" i="7"/>
  <c r="J20" i="7"/>
  <c r="J21" i="7"/>
  <c r="J15" i="7"/>
  <c r="I16" i="7"/>
  <c r="I18" i="7"/>
  <c r="I19" i="7"/>
  <c r="I20" i="7"/>
  <c r="I21" i="7"/>
  <c r="I15" i="7"/>
  <c r="G17" i="6"/>
  <c r="B16" i="6"/>
  <c r="B18" i="6"/>
  <c r="K18" i="6" s="1"/>
  <c r="B19" i="6"/>
  <c r="B20" i="6"/>
  <c r="B21" i="6"/>
  <c r="B22" i="6"/>
  <c r="B23" i="6"/>
  <c r="B24" i="6"/>
  <c r="B25" i="6"/>
  <c r="B26" i="6"/>
  <c r="K26" i="6" s="1"/>
  <c r="B27" i="6"/>
  <c r="K27" i="6" s="1"/>
  <c r="B28" i="6"/>
  <c r="K28" i="6" s="1"/>
  <c r="B29" i="6"/>
  <c r="B30" i="6"/>
  <c r="B31" i="6"/>
  <c r="K31" i="6" s="1"/>
  <c r="B32" i="6"/>
  <c r="B33" i="6"/>
  <c r="B34" i="6"/>
  <c r="K34" i="6" s="1"/>
  <c r="B35" i="6"/>
  <c r="K35" i="6" s="1"/>
  <c r="B36" i="6"/>
  <c r="K36" i="6" s="1"/>
  <c r="B37" i="6"/>
  <c r="B38" i="6"/>
  <c r="B39" i="6"/>
  <c r="B15" i="6"/>
  <c r="J16" i="6"/>
  <c r="J18" i="6"/>
  <c r="J19" i="6"/>
  <c r="J20" i="6"/>
  <c r="J21" i="6"/>
  <c r="J22" i="6"/>
  <c r="J15" i="6"/>
  <c r="I16" i="6"/>
  <c r="I18" i="6"/>
  <c r="I19" i="6"/>
  <c r="I20" i="6"/>
  <c r="I21" i="6"/>
  <c r="I22" i="6"/>
  <c r="I15" i="6"/>
  <c r="A17" i="6"/>
  <c r="B16" i="5"/>
  <c r="B18" i="5"/>
  <c r="B19" i="5"/>
  <c r="B20" i="5"/>
  <c r="B21" i="5"/>
  <c r="B22" i="5"/>
  <c r="B23" i="5"/>
  <c r="B24" i="5"/>
  <c r="B25" i="5"/>
  <c r="B26" i="5"/>
  <c r="K26" i="5" s="1"/>
  <c r="B27" i="5"/>
  <c r="B28" i="5"/>
  <c r="K28" i="5" s="1"/>
  <c r="B29" i="5"/>
  <c r="K29" i="5" s="1"/>
  <c r="B30" i="5"/>
  <c r="K30" i="5" s="1"/>
  <c r="B31" i="5"/>
  <c r="B32" i="5"/>
  <c r="K32" i="5" s="1"/>
  <c r="B33" i="5"/>
  <c r="B34" i="5"/>
  <c r="K34" i="5" s="1"/>
  <c r="B35" i="5"/>
  <c r="K35" i="5" s="1"/>
  <c r="B36" i="5"/>
  <c r="B15" i="5"/>
  <c r="J16" i="5"/>
  <c r="J17" i="5"/>
  <c r="J18" i="5"/>
  <c r="J19" i="5"/>
  <c r="J20" i="5"/>
  <c r="J21" i="5"/>
  <c r="J15" i="5"/>
  <c r="I16" i="5"/>
  <c r="I17" i="5"/>
  <c r="I18" i="5"/>
  <c r="I19" i="5"/>
  <c r="I20" i="5"/>
  <c r="I21" i="5"/>
  <c r="I15" i="5"/>
  <c r="B17" i="4"/>
  <c r="K17" i="4" s="1"/>
  <c r="B18" i="4"/>
  <c r="B19" i="4"/>
  <c r="B20" i="4"/>
  <c r="B21" i="4"/>
  <c r="B22" i="4"/>
  <c r="B23" i="4"/>
  <c r="B24" i="4"/>
  <c r="K24" i="4" s="1"/>
  <c r="B25" i="4"/>
  <c r="B26" i="4"/>
  <c r="K26" i="4" s="1"/>
  <c r="B27" i="4"/>
  <c r="K27" i="4" s="1"/>
  <c r="B28" i="4"/>
  <c r="B29" i="4"/>
  <c r="B30" i="4"/>
  <c r="B31" i="4"/>
  <c r="K31" i="4" s="1"/>
  <c r="B32" i="4"/>
  <c r="K32" i="4" s="1"/>
  <c r="B33" i="4"/>
  <c r="B34" i="4"/>
  <c r="K34" i="4" s="1"/>
  <c r="B35" i="4"/>
  <c r="K35" i="4" s="1"/>
  <c r="B36" i="4"/>
  <c r="B37" i="4"/>
  <c r="B15" i="4"/>
  <c r="G16" i="4"/>
  <c r="J16" i="4" s="1"/>
  <c r="A16" i="4"/>
  <c r="J17" i="4"/>
  <c r="J18" i="4"/>
  <c r="J19" i="4"/>
  <c r="J20" i="4"/>
  <c r="J21" i="4"/>
  <c r="J15" i="4"/>
  <c r="I17" i="4"/>
  <c r="I18" i="4"/>
  <c r="I19" i="4"/>
  <c r="I20" i="4"/>
  <c r="I21" i="4"/>
  <c r="I15" i="4"/>
  <c r="B17" i="23"/>
  <c r="K17" i="23" s="1"/>
  <c r="B18" i="23"/>
  <c r="B19" i="23"/>
  <c r="B20" i="23"/>
  <c r="B21" i="23"/>
  <c r="B22" i="23"/>
  <c r="B23" i="23"/>
  <c r="B24" i="23"/>
  <c r="B25" i="23"/>
  <c r="K25" i="23" s="1"/>
  <c r="B26" i="23"/>
  <c r="K26" i="23" s="1"/>
  <c r="B27" i="23"/>
  <c r="B28" i="23"/>
  <c r="K28" i="23" s="1"/>
  <c r="B29" i="23"/>
  <c r="K29" i="23" s="1"/>
  <c r="B30" i="23"/>
  <c r="B31" i="23"/>
  <c r="B15" i="23"/>
  <c r="G16" i="23"/>
  <c r="J16" i="23"/>
  <c r="A16" i="23"/>
  <c r="J17" i="23"/>
  <c r="J18" i="23"/>
  <c r="J19" i="23"/>
  <c r="J20" i="23"/>
  <c r="J21" i="23"/>
  <c r="J22" i="23"/>
  <c r="J23" i="23"/>
  <c r="J15" i="23"/>
  <c r="I17" i="23"/>
  <c r="I18" i="23"/>
  <c r="I19" i="23"/>
  <c r="I20" i="23"/>
  <c r="I21" i="23"/>
  <c r="I22" i="23"/>
  <c r="I23" i="23"/>
  <c r="I15" i="23"/>
  <c r="G19" i="3"/>
  <c r="J19" i="3" s="1"/>
  <c r="B18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17" i="3"/>
  <c r="A19" i="3"/>
  <c r="K20" i="3" s="1"/>
  <c r="J18" i="3"/>
  <c r="J20" i="3"/>
  <c r="J21" i="3"/>
  <c r="J22" i="3"/>
  <c r="J23" i="3"/>
  <c r="J24" i="3"/>
  <c r="J25" i="3"/>
  <c r="J26" i="3"/>
  <c r="J27" i="3"/>
  <c r="J17" i="3"/>
  <c r="I18" i="3"/>
  <c r="I20" i="3"/>
  <c r="I21" i="3"/>
  <c r="I22" i="3"/>
  <c r="I23" i="3"/>
  <c r="I24" i="3"/>
  <c r="I25" i="3"/>
  <c r="I26" i="3"/>
  <c r="I27" i="3"/>
  <c r="I17" i="3"/>
  <c r="B18" i="2"/>
  <c r="B20" i="2"/>
  <c r="B21" i="2"/>
  <c r="B22" i="2"/>
  <c r="B23" i="2"/>
  <c r="L23" i="2" s="1"/>
  <c r="B24" i="2"/>
  <c r="L24" i="2" s="1"/>
  <c r="B25" i="2"/>
  <c r="B26" i="2"/>
  <c r="B27" i="2"/>
  <c r="B28" i="2"/>
  <c r="L28" i="2" s="1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17" i="2"/>
  <c r="G19" i="2"/>
  <c r="A19" i="2"/>
  <c r="K20" i="2" s="1"/>
  <c r="J18" i="2"/>
  <c r="J20" i="2"/>
  <c r="J21" i="2"/>
  <c r="J22" i="2"/>
  <c r="J23" i="2"/>
  <c r="J24" i="2"/>
  <c r="J25" i="2"/>
  <c r="J26" i="2"/>
  <c r="J27" i="2"/>
  <c r="J17" i="2"/>
  <c r="I18" i="2"/>
  <c r="I20" i="2"/>
  <c r="I21" i="2"/>
  <c r="I22" i="2"/>
  <c r="I23" i="2"/>
  <c r="I24" i="2"/>
  <c r="I25" i="2"/>
  <c r="I26" i="2"/>
  <c r="I27" i="2"/>
  <c r="I17" i="2"/>
  <c r="B16" i="15"/>
  <c r="B17" i="15"/>
  <c r="B19" i="15"/>
  <c r="L19" i="15" s="1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K33" i="15" s="1"/>
  <c r="B34" i="15"/>
  <c r="B35" i="15"/>
  <c r="B15" i="15"/>
  <c r="A18" i="15"/>
  <c r="J18" i="15"/>
  <c r="I18" i="15"/>
  <c r="I16" i="15"/>
  <c r="J16" i="15"/>
  <c r="I17" i="15"/>
  <c r="J17" i="15"/>
  <c r="I19" i="15"/>
  <c r="J19" i="15"/>
  <c r="I20" i="15"/>
  <c r="J20" i="15"/>
  <c r="I21" i="15"/>
  <c r="J21" i="15"/>
  <c r="I22" i="15"/>
  <c r="J22" i="15"/>
  <c r="I23" i="15"/>
  <c r="J23" i="15"/>
  <c r="I24" i="15"/>
  <c r="J24" i="15"/>
  <c r="I25" i="15"/>
  <c r="J25" i="15"/>
  <c r="I26" i="15"/>
  <c r="J26" i="15"/>
  <c r="I27" i="15"/>
  <c r="J27" i="15"/>
  <c r="I28" i="15"/>
  <c r="J28" i="15"/>
  <c r="I29" i="15"/>
  <c r="J29" i="15"/>
  <c r="I30" i="15"/>
  <c r="J30" i="15"/>
  <c r="J15" i="15"/>
  <c r="I15" i="15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K35" i="14" s="1"/>
  <c r="B36" i="14"/>
  <c r="B37" i="14"/>
  <c r="K37" i="14" s="1"/>
  <c r="B38" i="14"/>
  <c r="B39" i="14"/>
  <c r="K39" i="14" s="1"/>
  <c r="B40" i="14"/>
  <c r="B41" i="14"/>
  <c r="K41" i="14" s="1"/>
  <c r="B42" i="14"/>
  <c r="B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15" i="14"/>
  <c r="B16" i="13"/>
  <c r="B17" i="13"/>
  <c r="B19" i="13"/>
  <c r="K19" i="13" s="1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K38" i="13" s="1"/>
  <c r="B15" i="13"/>
  <c r="A18" i="13"/>
  <c r="G18" i="13"/>
  <c r="I18" i="13"/>
  <c r="J16" i="13"/>
  <c r="J17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15" i="13"/>
  <c r="I16" i="13"/>
  <c r="I17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15" i="13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K31" i="12" s="1"/>
  <c r="B32" i="12"/>
  <c r="B33" i="12"/>
  <c r="K33" i="12" s="1"/>
  <c r="B34" i="12"/>
  <c r="B35" i="12"/>
  <c r="K35" i="12" s="1"/>
  <c r="B36" i="12"/>
  <c r="B37" i="12"/>
  <c r="K37" i="12" s="1"/>
  <c r="B38" i="12"/>
  <c r="B39" i="12"/>
  <c r="B15" i="12"/>
  <c r="J18" i="13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I25" i="12"/>
  <c r="J25" i="12"/>
  <c r="I26" i="12"/>
  <c r="J26" i="12"/>
  <c r="I27" i="12"/>
  <c r="J27" i="12"/>
  <c r="I28" i="12"/>
  <c r="J28" i="12"/>
  <c r="I29" i="12"/>
  <c r="J29" i="12"/>
  <c r="I30" i="12"/>
  <c r="J30" i="12"/>
  <c r="J15" i="12"/>
  <c r="I15" i="12"/>
  <c r="L20" i="2" l="1"/>
  <c r="N20" i="2"/>
  <c r="I16" i="4"/>
  <c r="L18" i="18"/>
  <c r="I19" i="2"/>
  <c r="L27" i="2"/>
  <c r="K30" i="4"/>
  <c r="K33" i="5"/>
  <c r="K25" i="5"/>
  <c r="K32" i="6"/>
  <c r="K24" i="6"/>
  <c r="K28" i="7"/>
  <c r="K29" i="8"/>
  <c r="K33" i="17"/>
  <c r="B19" i="3"/>
  <c r="K30" i="23"/>
  <c r="K36" i="4"/>
  <c r="K28" i="4"/>
  <c r="K31" i="5"/>
  <c r="K38" i="6"/>
  <c r="K30" i="6"/>
  <c r="K34" i="7"/>
  <c r="K26" i="7"/>
  <c r="K27" i="8"/>
  <c r="K33" i="11"/>
  <c r="K25" i="11"/>
  <c r="K30" i="18"/>
  <c r="L30" i="18"/>
  <c r="K26" i="18"/>
  <c r="L26" i="18"/>
  <c r="L22" i="18"/>
  <c r="K22" i="18"/>
  <c r="K18" i="18"/>
  <c r="L28" i="18"/>
  <c r="K28" i="18"/>
  <c r="L24" i="18"/>
  <c r="K24" i="18"/>
  <c r="K20" i="18"/>
  <c r="L20" i="18"/>
  <c r="L29" i="18"/>
  <c r="K29" i="18"/>
  <c r="L25" i="18"/>
  <c r="K25" i="18"/>
  <c r="L21" i="18"/>
  <c r="K21" i="18"/>
  <c r="L31" i="18"/>
  <c r="K31" i="18"/>
  <c r="L27" i="18"/>
  <c r="K27" i="18"/>
  <c r="K23" i="18"/>
  <c r="L23" i="18"/>
  <c r="L19" i="18"/>
  <c r="K19" i="18"/>
  <c r="L20" i="17"/>
  <c r="L31" i="17"/>
  <c r="K31" i="17"/>
  <c r="L27" i="17"/>
  <c r="K27" i="17"/>
  <c r="K23" i="17"/>
  <c r="L23" i="17"/>
  <c r="J19" i="17"/>
  <c r="K30" i="17"/>
  <c r="L30" i="17"/>
  <c r="K26" i="17"/>
  <c r="L26" i="17"/>
  <c r="K22" i="17"/>
  <c r="L22" i="17"/>
  <c r="K29" i="17"/>
  <c r="L29" i="17"/>
  <c r="K25" i="17"/>
  <c r="L25" i="17"/>
  <c r="K21" i="17"/>
  <c r="L21" i="17"/>
  <c r="I19" i="17"/>
  <c r="K32" i="17"/>
  <c r="L28" i="17"/>
  <c r="K28" i="17"/>
  <c r="K24" i="17"/>
  <c r="L24" i="17"/>
  <c r="L29" i="15"/>
  <c r="K29" i="15"/>
  <c r="L25" i="15"/>
  <c r="K25" i="15"/>
  <c r="L21" i="15"/>
  <c r="K21" i="15"/>
  <c r="K32" i="15"/>
  <c r="L28" i="15"/>
  <c r="K28" i="15"/>
  <c r="L24" i="15"/>
  <c r="K24" i="15"/>
  <c r="L20" i="15"/>
  <c r="K20" i="15"/>
  <c r="L31" i="15"/>
  <c r="K31" i="15"/>
  <c r="L27" i="15"/>
  <c r="K27" i="15"/>
  <c r="L23" i="15"/>
  <c r="K23" i="15"/>
  <c r="K19" i="15"/>
  <c r="K34" i="15"/>
  <c r="L30" i="15"/>
  <c r="K30" i="15"/>
  <c r="L26" i="15"/>
  <c r="K26" i="15"/>
  <c r="L22" i="15"/>
  <c r="K22" i="15"/>
  <c r="L31" i="14"/>
  <c r="K31" i="14"/>
  <c r="L27" i="14"/>
  <c r="K27" i="14"/>
  <c r="L23" i="14"/>
  <c r="K23" i="14"/>
  <c r="K38" i="14"/>
  <c r="L34" i="14"/>
  <c r="K34" i="14"/>
  <c r="L30" i="14"/>
  <c r="K30" i="14"/>
  <c r="L26" i="14"/>
  <c r="K26" i="14"/>
  <c r="L22" i="14"/>
  <c r="K22" i="14"/>
  <c r="L33" i="14"/>
  <c r="K33" i="14"/>
  <c r="L29" i="14"/>
  <c r="K29" i="14"/>
  <c r="L25" i="14"/>
  <c r="K25" i="14"/>
  <c r="L21" i="14"/>
  <c r="K21" i="14"/>
  <c r="K40" i="14"/>
  <c r="K36" i="14"/>
  <c r="L32" i="14"/>
  <c r="K32" i="14"/>
  <c r="L28" i="14"/>
  <c r="K28" i="14"/>
  <c r="L24" i="14"/>
  <c r="K24" i="14"/>
  <c r="L20" i="14"/>
  <c r="K20" i="14"/>
  <c r="L35" i="13"/>
  <c r="K35" i="13"/>
  <c r="L31" i="13"/>
  <c r="K31" i="13"/>
  <c r="L27" i="13"/>
  <c r="K27" i="13"/>
  <c r="L23" i="13"/>
  <c r="K23" i="13"/>
  <c r="L34" i="13"/>
  <c r="K34" i="13"/>
  <c r="L30" i="13"/>
  <c r="K30" i="13"/>
  <c r="L26" i="13"/>
  <c r="K26" i="13"/>
  <c r="L22" i="13"/>
  <c r="K22" i="13"/>
  <c r="L19" i="13"/>
  <c r="N19" i="13"/>
  <c r="L37" i="13"/>
  <c r="K37" i="13"/>
  <c r="L33" i="13"/>
  <c r="K33" i="13"/>
  <c r="L29" i="13"/>
  <c r="K29" i="13"/>
  <c r="L25" i="13"/>
  <c r="K25" i="13"/>
  <c r="L21" i="13"/>
  <c r="K21" i="13"/>
  <c r="K36" i="13"/>
  <c r="L36" i="13"/>
  <c r="L32" i="13"/>
  <c r="K32" i="13"/>
  <c r="L28" i="13"/>
  <c r="K28" i="13"/>
  <c r="L24" i="13"/>
  <c r="K24" i="13"/>
  <c r="L20" i="13"/>
  <c r="K20" i="13"/>
  <c r="K29" i="12"/>
  <c r="L29" i="12"/>
  <c r="K25" i="12"/>
  <c r="L25" i="12"/>
  <c r="K21" i="12"/>
  <c r="L21" i="12"/>
  <c r="K17" i="12"/>
  <c r="L17" i="12"/>
  <c r="K36" i="12"/>
  <c r="L32" i="12"/>
  <c r="K32" i="12"/>
  <c r="L28" i="12"/>
  <c r="K28" i="12"/>
  <c r="L24" i="12"/>
  <c r="K24" i="12"/>
  <c r="L20" i="12"/>
  <c r="K20" i="12"/>
  <c r="L16" i="12"/>
  <c r="K16" i="12"/>
  <c r="K27" i="12"/>
  <c r="L27" i="12"/>
  <c r="K23" i="12"/>
  <c r="L23" i="12"/>
  <c r="K19" i="12"/>
  <c r="L19" i="12"/>
  <c r="K38" i="12"/>
  <c r="K34" i="12"/>
  <c r="K30" i="12"/>
  <c r="L30" i="12"/>
  <c r="K26" i="12"/>
  <c r="L26" i="12"/>
  <c r="K22" i="12"/>
  <c r="L22" i="12"/>
  <c r="K18" i="12"/>
  <c r="L18" i="12"/>
  <c r="K21" i="11"/>
  <c r="L21" i="11"/>
  <c r="I17" i="11"/>
  <c r="K36" i="11"/>
  <c r="K32" i="11"/>
  <c r="K28" i="11"/>
  <c r="K24" i="11"/>
  <c r="L20" i="11"/>
  <c r="K20" i="11"/>
  <c r="L22" i="11"/>
  <c r="K22" i="11"/>
  <c r="N18" i="11"/>
  <c r="L18" i="11"/>
  <c r="K35" i="11"/>
  <c r="K31" i="11"/>
  <c r="K27" i="11"/>
  <c r="K23" i="11"/>
  <c r="K19" i="11"/>
  <c r="L19" i="11"/>
  <c r="L20" i="10"/>
  <c r="K20" i="10"/>
  <c r="K31" i="10"/>
  <c r="K27" i="10"/>
  <c r="K23" i="10"/>
  <c r="L19" i="10"/>
  <c r="K19" i="10"/>
  <c r="L22" i="10"/>
  <c r="K22" i="10"/>
  <c r="L18" i="10"/>
  <c r="N18" i="10"/>
  <c r="K33" i="10"/>
  <c r="K29" i="10"/>
  <c r="K25" i="10"/>
  <c r="L21" i="10"/>
  <c r="K21" i="10"/>
  <c r="L20" i="9"/>
  <c r="K20" i="9"/>
  <c r="K35" i="9"/>
  <c r="K31" i="9"/>
  <c r="K27" i="9"/>
  <c r="L23" i="9"/>
  <c r="K23" i="9"/>
  <c r="L19" i="9"/>
  <c r="K19" i="9"/>
  <c r="N18" i="9"/>
  <c r="L18" i="9"/>
  <c r="L22" i="9"/>
  <c r="K22" i="9"/>
  <c r="K33" i="9"/>
  <c r="K29" i="9"/>
  <c r="K25" i="9"/>
  <c r="L21" i="9"/>
  <c r="K21" i="9"/>
  <c r="L18" i="8"/>
  <c r="N18" i="8"/>
  <c r="K25" i="8"/>
  <c r="L25" i="8"/>
  <c r="L21" i="8"/>
  <c r="K21" i="8"/>
  <c r="K32" i="8"/>
  <c r="K28" i="8"/>
  <c r="K24" i="8"/>
  <c r="L20" i="8"/>
  <c r="K20" i="8"/>
  <c r="L23" i="8"/>
  <c r="K23" i="8"/>
  <c r="L19" i="8"/>
  <c r="K19" i="8"/>
  <c r="J17" i="8"/>
  <c r="K34" i="8"/>
  <c r="K30" i="8"/>
  <c r="K26" i="8"/>
  <c r="L22" i="8"/>
  <c r="K22" i="8"/>
  <c r="N18" i="7"/>
  <c r="L18" i="7"/>
  <c r="L21" i="7"/>
  <c r="K21" i="7"/>
  <c r="K31" i="7"/>
  <c r="K27" i="7"/>
  <c r="K23" i="7"/>
  <c r="K19" i="7"/>
  <c r="L19" i="7"/>
  <c r="K22" i="7"/>
  <c r="L22" i="7"/>
  <c r="J17" i="7"/>
  <c r="L20" i="7"/>
  <c r="K20" i="7"/>
  <c r="K20" i="6"/>
  <c r="L20" i="6"/>
  <c r="L18" i="6"/>
  <c r="N18" i="6"/>
  <c r="L23" i="6"/>
  <c r="K23" i="6"/>
  <c r="L19" i="6"/>
  <c r="K19" i="6"/>
  <c r="I17" i="6"/>
  <c r="J17" i="6"/>
  <c r="K22" i="6"/>
  <c r="L22" i="6"/>
  <c r="K37" i="6"/>
  <c r="K33" i="6"/>
  <c r="K29" i="6"/>
  <c r="K25" i="6"/>
  <c r="L21" i="6"/>
  <c r="K21" i="6"/>
  <c r="K22" i="5"/>
  <c r="L22" i="5"/>
  <c r="K18" i="5"/>
  <c r="L18" i="5"/>
  <c r="K21" i="5"/>
  <c r="L21" i="5"/>
  <c r="K24" i="5"/>
  <c r="K20" i="5"/>
  <c r="L20" i="5"/>
  <c r="K27" i="5"/>
  <c r="K23" i="5"/>
  <c r="K19" i="5"/>
  <c r="L19" i="5"/>
  <c r="K20" i="4"/>
  <c r="L20" i="4"/>
  <c r="K23" i="4"/>
  <c r="L23" i="4"/>
  <c r="K19" i="4"/>
  <c r="L19" i="4"/>
  <c r="K22" i="4"/>
  <c r="L22" i="4"/>
  <c r="K18" i="4"/>
  <c r="L18" i="4"/>
  <c r="N17" i="4"/>
  <c r="L17" i="4"/>
  <c r="K33" i="4"/>
  <c r="K29" i="4"/>
  <c r="K25" i="4"/>
  <c r="K21" i="4"/>
  <c r="L21" i="4"/>
  <c r="K22" i="23"/>
  <c r="L22" i="23"/>
  <c r="K18" i="23"/>
  <c r="L18" i="23"/>
  <c r="N17" i="23"/>
  <c r="L17" i="23"/>
  <c r="K21" i="23"/>
  <c r="L21" i="23"/>
  <c r="I16" i="23"/>
  <c r="L24" i="23"/>
  <c r="K24" i="23"/>
  <c r="K20" i="23"/>
  <c r="L20" i="23"/>
  <c r="K27" i="23"/>
  <c r="L23" i="23"/>
  <c r="K23" i="23"/>
  <c r="L19" i="23"/>
  <c r="K19" i="23"/>
  <c r="N20" i="3"/>
  <c r="L20" i="3"/>
  <c r="I19" i="3"/>
  <c r="L25" i="2"/>
  <c r="L21" i="2"/>
  <c r="J19" i="2"/>
  <c r="L26" i="2"/>
  <c r="L22" i="2"/>
  <c r="K26" i="16"/>
  <c r="I18" i="16"/>
  <c r="K19" i="16"/>
  <c r="L22" i="19"/>
  <c r="K22" i="19"/>
  <c r="L19" i="19"/>
  <c r="L21" i="19"/>
  <c r="K21" i="19"/>
  <c r="J18" i="19"/>
  <c r="K28" i="19"/>
  <c r="L20" i="19"/>
  <c r="K20" i="19"/>
  <c r="I18" i="19"/>
  <c r="K27" i="19"/>
  <c r="K26" i="19"/>
  <c r="K25" i="19"/>
  <c r="K24" i="19"/>
  <c r="L23" i="19"/>
  <c r="K23" i="19"/>
  <c r="L19" i="16"/>
  <c r="N19" i="16"/>
  <c r="K25" i="16"/>
  <c r="L25" i="16"/>
  <c r="J18" i="16"/>
  <c r="L24" i="16"/>
  <c r="K24" i="16"/>
  <c r="L23" i="16"/>
  <c r="K23" i="16"/>
  <c r="L22" i="16"/>
  <c r="K22" i="16"/>
  <c r="L21" i="16"/>
  <c r="K21" i="16"/>
  <c r="K28" i="16"/>
  <c r="L20" i="16"/>
  <c r="K20" i="16"/>
  <c r="K2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USAF User</author>
  </authors>
  <commentList>
    <comment ref="A31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Robert Pilarczyk:
Specimen Failed.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USAF User</author>
  </authors>
  <commentList>
    <comment ref="A37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USAF User:</t>
        </r>
        <r>
          <rPr>
            <sz val="8"/>
            <color indexed="81"/>
            <rFont val="Tahoma"/>
            <family val="2"/>
          </rPr>
          <t xml:space="preserve">
Approximate Failure Cycles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USAF User</author>
  </authors>
  <commentList>
    <comment ref="A36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 xml:space="preserve">Carlson:
Fracture occurred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USAF User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>USAF User:</t>
        </r>
        <r>
          <rPr>
            <sz val="10"/>
            <color indexed="81"/>
            <rFont val="Tahoma"/>
            <family val="2"/>
          </rPr>
          <t xml:space="preserve">
Specimen Failed</t>
        </r>
      </text>
    </comment>
  </commentList>
</comments>
</file>

<file path=xl/sharedStrings.xml><?xml version="1.0" encoding="utf-8"?>
<sst xmlns="http://schemas.openxmlformats.org/spreadsheetml/2006/main" count="698" uniqueCount="48">
  <si>
    <t>Material</t>
  </si>
  <si>
    <t>Specimen Type</t>
  </si>
  <si>
    <t>Hole Edge Margin</t>
  </si>
  <si>
    <t>2024-T351</t>
  </si>
  <si>
    <t>Loading</t>
  </si>
  <si>
    <t>Max Stress (ksi)</t>
  </si>
  <si>
    <t>Thickness
(in)</t>
  </si>
  <si>
    <t>Width
(in)</t>
  </si>
  <si>
    <t>Hole Diameter
(in)</t>
  </si>
  <si>
    <t>CA
(R=0.1)</t>
  </si>
  <si>
    <t>Non-CX Baseline</t>
  </si>
  <si>
    <t>CX</t>
  </si>
  <si>
    <t>Benchmark Condition #</t>
  </si>
  <si>
    <t>Starting Bore Crack Length (in)</t>
  </si>
  <si>
    <t>Starting Surface Crack Length (in)</t>
  </si>
  <si>
    <t>Total Cycles</t>
  </si>
  <si>
    <t>Crack Length</t>
  </si>
  <si>
    <t>A</t>
  </si>
  <si>
    <t>B</t>
  </si>
  <si>
    <t>Bore</t>
  </si>
  <si>
    <t>Comments</t>
  </si>
  <si>
    <t>Surface of Hole</t>
  </si>
  <si>
    <t>EDM</t>
  </si>
  <si>
    <t>NEDM</t>
  </si>
  <si>
    <t/>
  </si>
  <si>
    <t>a/c</t>
  </si>
  <si>
    <t>a/t</t>
  </si>
  <si>
    <t>Adjusted Cycles</t>
  </si>
  <si>
    <t>Cycles</t>
  </si>
  <si>
    <t>Crack Length (inches)</t>
  </si>
  <si>
    <t>Entrance</t>
  </si>
  <si>
    <t>Exit</t>
  </si>
  <si>
    <t>North</t>
  </si>
  <si>
    <t>South</t>
  </si>
  <si>
    <t xml:space="preserve">North </t>
  </si>
  <si>
    <t>Precracking</t>
  </si>
  <si>
    <t>Through Bore</t>
  </si>
  <si>
    <t>Final Failure of Specimen</t>
  </si>
  <si>
    <t>Final Specimen Failure</t>
  </si>
  <si>
    <t>Precrack</t>
  </si>
  <si>
    <t>Testing</t>
  </si>
  <si>
    <t>Through Thickness</t>
  </si>
  <si>
    <t>Ligament Failed</t>
  </si>
  <si>
    <t>Thru Thickness</t>
  </si>
  <si>
    <t>da/dN</t>
  </si>
  <si>
    <t>dc/dN</t>
  </si>
  <si>
    <t>c_bar</t>
  </si>
  <si>
    <t>a_bar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</si>
</sst>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6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3" borderId="0" applyNumberFormat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165" fontId="6" fillId="0" borderId="13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165" fontId="6" fillId="0" borderId="6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" fontId="6" fillId="0" borderId="10" xfId="1" applyNumberFormat="1" applyFont="1" applyBorder="1" applyAlignment="1">
      <alignment horizontal="center" vertical="center"/>
    </xf>
    <xf numFmtId="165" fontId="6" fillId="0" borderId="11" xfId="1" applyNumberFormat="1" applyFont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center"/>
    </xf>
    <xf numFmtId="1" fontId="6" fillId="0" borderId="3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1" fontId="6" fillId="2" borderId="3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1" fontId="6" fillId="0" borderId="10" xfId="1" applyNumberFormat="1" applyFont="1" applyBorder="1" applyAlignment="1">
      <alignment horizontal="center" vertical="center"/>
    </xf>
    <xf numFmtId="165" fontId="6" fillId="0" borderId="13" xfId="1" applyNumberFormat="1" applyFont="1" applyBorder="1" applyAlignment="1">
      <alignment horizontal="center" vertical="center"/>
    </xf>
    <xf numFmtId="165" fontId="6" fillId="0" borderId="6" xfId="1" applyNumberFormat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6" fillId="0" borderId="10" xfId="1" applyNumberFormat="1" applyFont="1" applyBorder="1" applyAlignment="1">
      <alignment horizontal="center" vertical="center"/>
    </xf>
    <xf numFmtId="165" fontId="6" fillId="0" borderId="11" xfId="1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" fontId="6" fillId="0" borderId="13" xfId="1" applyNumberFormat="1" applyFont="1" applyBorder="1" applyAlignment="1">
      <alignment horizontal="center" vertical="center"/>
    </xf>
    <xf numFmtId="165" fontId="6" fillId="2" borderId="13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1" fontId="6" fillId="2" borderId="13" xfId="1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11" fillId="0" borderId="13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66" fontId="12" fillId="0" borderId="13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2" fontId="12" fillId="0" borderId="13" xfId="0" applyNumberFormat="1" applyFont="1" applyFill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12" fillId="0" borderId="23" xfId="0" applyNumberFormat="1" applyFont="1" applyBorder="1" applyAlignment="1">
      <alignment horizontal="center" vertical="center"/>
    </xf>
    <xf numFmtId="2" fontId="7" fillId="0" borderId="15" xfId="1" applyNumberFormat="1" applyFont="1" applyBorder="1" applyAlignment="1">
      <alignment horizontal="center" vertical="center"/>
    </xf>
    <xf numFmtId="2" fontId="7" fillId="2" borderId="15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13" fillId="0" borderId="0" xfId="0" applyFont="1"/>
    <xf numFmtId="1" fontId="12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66" fontId="12" fillId="2" borderId="13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2" fontId="12" fillId="2" borderId="13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2" fontId="12" fillId="2" borderId="23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166" fontId="0" fillId="0" borderId="0" xfId="0" applyNumberFormat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5" fontId="6" fillId="0" borderId="14" xfId="1" applyNumberFormat="1" applyFont="1" applyBorder="1" applyAlignment="1">
      <alignment horizontal="center" vertical="center"/>
    </xf>
    <xf numFmtId="165" fontId="6" fillId="0" borderId="27" xfId="1" applyNumberFormat="1" applyFont="1" applyBorder="1" applyAlignment="1">
      <alignment horizontal="center" vertical="center"/>
    </xf>
    <xf numFmtId="165" fontId="6" fillId="0" borderId="28" xfId="1" applyNumberFormat="1" applyFont="1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/>
    </xf>
    <xf numFmtId="165" fontId="6" fillId="0" borderId="22" xfId="1" applyNumberFormat="1" applyFont="1" applyBorder="1" applyAlignment="1">
      <alignment horizontal="center" vertical="center"/>
    </xf>
    <xf numFmtId="165" fontId="6" fillId="0" borderId="23" xfId="1" applyNumberFormat="1" applyFont="1" applyBorder="1" applyAlignment="1">
      <alignment horizontal="center" vertical="center"/>
    </xf>
    <xf numFmtId="165" fontId="6" fillId="0" borderId="16" xfId="1" applyNumberFormat="1" applyFont="1" applyBorder="1" applyAlignment="1">
      <alignment horizontal="center" vertical="center"/>
    </xf>
    <xf numFmtId="165" fontId="6" fillId="0" borderId="17" xfId="1" applyNumberFormat="1" applyFont="1" applyBorder="1" applyAlignment="1">
      <alignment horizontal="center" vertical="center"/>
    </xf>
    <xf numFmtId="165" fontId="6" fillId="0" borderId="18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165" fontId="2" fillId="0" borderId="22" xfId="1" applyNumberForma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 wrapText="1"/>
    </xf>
    <xf numFmtId="165" fontId="6" fillId="0" borderId="22" xfId="1" applyNumberFormat="1" applyFont="1" applyBorder="1" applyAlignment="1">
      <alignment horizontal="center" vertical="center" wrapText="1"/>
    </xf>
    <xf numFmtId="165" fontId="6" fillId="0" borderId="23" xfId="1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</cellXfs>
  <cellStyles count="3">
    <cellStyle name="Neutral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chartsheet" Target="chartsheets/sheet6.xml"/><Relationship Id="rId26" Type="http://schemas.openxmlformats.org/officeDocument/2006/relationships/worksheet" Target="worksheets/sheet18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4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8.xml"/><Relationship Id="rId17" Type="http://schemas.openxmlformats.org/officeDocument/2006/relationships/chartsheet" Target="chartsheets/sheet5.xml"/><Relationship Id="rId25" Type="http://schemas.openxmlformats.org/officeDocument/2006/relationships/worksheet" Target="worksheets/sheet17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2.xml"/><Relationship Id="rId20" Type="http://schemas.openxmlformats.org/officeDocument/2006/relationships/worksheet" Target="worksheets/sheet13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7.xml"/><Relationship Id="rId24" Type="http://schemas.openxmlformats.org/officeDocument/2006/relationships/chartsheet" Target="chartsheets/sheet8.xml"/><Relationship Id="rId32" Type="http://schemas.openxmlformats.org/officeDocument/2006/relationships/calcChain" Target="calcChain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1.xml"/><Relationship Id="rId23" Type="http://schemas.openxmlformats.org/officeDocument/2006/relationships/worksheet" Target="worksheets/sheet16.xml"/><Relationship Id="rId28" Type="http://schemas.openxmlformats.org/officeDocument/2006/relationships/worksheet" Target="worksheets/sheet20.xml"/><Relationship Id="rId10" Type="http://schemas.openxmlformats.org/officeDocument/2006/relationships/worksheet" Target="worksheets/sheet6.xml"/><Relationship Id="rId19" Type="http://schemas.openxmlformats.org/officeDocument/2006/relationships/chartsheet" Target="chartsheets/sheet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worksheet" Target="worksheets/sheet15.xml"/><Relationship Id="rId27" Type="http://schemas.openxmlformats.org/officeDocument/2006/relationships/worksheet" Target="worksheets/sheet19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NCX2024-3 Surface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'NCX2024-3'!$B$19:$B$40</c:f>
              <c:numCache>
                <c:formatCode>0</c:formatCode>
                <c:ptCount val="22"/>
                <c:pt idx="0">
                  <c:v>0</c:v>
                </c:pt>
                <c:pt idx="1">
                  <c:v>4272</c:v>
                </c:pt>
                <c:pt idx="2">
                  <c:v>22018</c:v>
                </c:pt>
                <c:pt idx="3">
                  <c:v>43452</c:v>
                </c:pt>
                <c:pt idx="4">
                  <c:v>64089</c:v>
                </c:pt>
                <c:pt idx="5">
                  <c:v>86898</c:v>
                </c:pt>
                <c:pt idx="6">
                  <c:v>99767</c:v>
                </c:pt>
                <c:pt idx="7">
                  <c:v>108835</c:v>
                </c:pt>
                <c:pt idx="8">
                  <c:v>119823</c:v>
                </c:pt>
                <c:pt idx="9">
                  <c:v>128382</c:v>
                </c:pt>
                <c:pt idx="10">
                  <c:v>134657</c:v>
                </c:pt>
                <c:pt idx="11">
                  <c:v>140078</c:v>
                </c:pt>
                <c:pt idx="12">
                  <c:v>148047</c:v>
                </c:pt>
                <c:pt idx="13">
                  <c:v>161487</c:v>
                </c:pt>
                <c:pt idx="14">
                  <c:v>172394</c:v>
                </c:pt>
                <c:pt idx="15">
                  <c:v>180415</c:v>
                </c:pt>
                <c:pt idx="16">
                  <c:v>191004</c:v>
                </c:pt>
                <c:pt idx="17">
                  <c:v>197846</c:v>
                </c:pt>
                <c:pt idx="18">
                  <c:v>205065</c:v>
                </c:pt>
                <c:pt idx="19">
                  <c:v>214678</c:v>
                </c:pt>
                <c:pt idx="20">
                  <c:v>221068</c:v>
                </c:pt>
                <c:pt idx="21">
                  <c:v>226128</c:v>
                </c:pt>
              </c:numCache>
            </c:numRef>
          </c:xVal>
          <c:yVal>
            <c:numRef>
              <c:f>'NCX2024-3'!$C$19:$C$40</c:f>
              <c:numCache>
                <c:formatCode>0.0000</c:formatCode>
                <c:ptCount val="22"/>
                <c:pt idx="0">
                  <c:v>0.05</c:v>
                </c:pt>
                <c:pt idx="1">
                  <c:v>5.2362099999999939E-2</c:v>
                </c:pt>
                <c:pt idx="2">
                  <c:v>6.5747900000000067E-2</c:v>
                </c:pt>
                <c:pt idx="3">
                  <c:v>7.992110000000005E-2</c:v>
                </c:pt>
                <c:pt idx="4">
                  <c:v>0.10078720000000009</c:v>
                </c:pt>
                <c:pt idx="5">
                  <c:v>0.13228319999999999</c:v>
                </c:pt>
                <c:pt idx="6">
                  <c:v>0.16259810000000011</c:v>
                </c:pt>
                <c:pt idx="7">
                  <c:v>0.19212560000000012</c:v>
                </c:pt>
                <c:pt idx="8">
                  <c:v>0.22244049999999996</c:v>
                </c:pt>
                <c:pt idx="9">
                  <c:v>0.2535427999999999</c:v>
                </c:pt>
                <c:pt idx="10">
                  <c:v>0.28779469999999985</c:v>
                </c:pt>
                <c:pt idx="11">
                  <c:v>0.32204660000000002</c:v>
                </c:pt>
                <c:pt idx="12">
                  <c:v>0.37637719999999986</c:v>
                </c:pt>
                <c:pt idx="13">
                  <c:v>0.4673218999999999</c:v>
                </c:pt>
                <c:pt idx="14">
                  <c:v>0.56929020000000008</c:v>
                </c:pt>
                <c:pt idx="15">
                  <c:v>0.66692780000000018</c:v>
                </c:pt>
                <c:pt idx="16">
                  <c:v>0.77047090000000007</c:v>
                </c:pt>
                <c:pt idx="17">
                  <c:v>0.87243920000000019</c:v>
                </c:pt>
                <c:pt idx="18">
                  <c:v>0.98306890000000025</c:v>
                </c:pt>
                <c:pt idx="19">
                  <c:v>1.0803128000000002</c:v>
                </c:pt>
                <c:pt idx="20">
                  <c:v>1.1586591000000002</c:v>
                </c:pt>
                <c:pt idx="21">
                  <c:v>1.2326747000000005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4C-42EB-93B2-EED0960243C5}"/>
            </c:ext>
          </c:extLst>
        </c:ser>
        <c:ser>
          <c:idx val="1"/>
          <c:order val="1"/>
          <c:tx>
            <c:v>NCX2024-4 Surface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'NCX2024-4'!$B$19:$B$37</c:f>
              <c:numCache>
                <c:formatCode>0</c:formatCode>
                <c:ptCount val="19"/>
                <c:pt idx="0">
                  <c:v>-1.0958307640976273E-2</c:v>
                </c:pt>
                <c:pt idx="1">
                  <c:v>25132</c:v>
                </c:pt>
                <c:pt idx="2">
                  <c:v>52405</c:v>
                </c:pt>
                <c:pt idx="3">
                  <c:v>79344</c:v>
                </c:pt>
                <c:pt idx="4">
                  <c:v>97792</c:v>
                </c:pt>
                <c:pt idx="5">
                  <c:v>116580</c:v>
                </c:pt>
                <c:pt idx="6">
                  <c:v>140403</c:v>
                </c:pt>
                <c:pt idx="7">
                  <c:v>157497</c:v>
                </c:pt>
                <c:pt idx="8">
                  <c:v>169658</c:v>
                </c:pt>
                <c:pt idx="9">
                  <c:v>176855</c:v>
                </c:pt>
                <c:pt idx="10">
                  <c:v>183390</c:v>
                </c:pt>
                <c:pt idx="11">
                  <c:v>192929</c:v>
                </c:pt>
                <c:pt idx="12">
                  <c:v>204891</c:v>
                </c:pt>
                <c:pt idx="13">
                  <c:v>219412</c:v>
                </c:pt>
                <c:pt idx="14">
                  <c:v>232591</c:v>
                </c:pt>
                <c:pt idx="15">
                  <c:v>244414</c:v>
                </c:pt>
                <c:pt idx="16">
                  <c:v>254293</c:v>
                </c:pt>
                <c:pt idx="17">
                  <c:v>264372</c:v>
                </c:pt>
                <c:pt idx="18">
                  <c:v>283844</c:v>
                </c:pt>
              </c:numCache>
            </c:numRef>
          </c:xVal>
          <c:yVal>
            <c:numRef>
              <c:f>'NCX2024-4'!$C$19:$C$37</c:f>
              <c:numCache>
                <c:formatCode>0.0000</c:formatCode>
                <c:ptCount val="19"/>
                <c:pt idx="0">
                  <c:v>0.05</c:v>
                </c:pt>
                <c:pt idx="1">
                  <c:v>5.7480200000000037E-2</c:v>
                </c:pt>
                <c:pt idx="2">
                  <c:v>7.3621900000000184E-2</c:v>
                </c:pt>
                <c:pt idx="3">
                  <c:v>9.4094300000000033E-2</c:v>
                </c:pt>
                <c:pt idx="4">
                  <c:v>0.11653520000000003</c:v>
                </c:pt>
                <c:pt idx="5">
                  <c:v>0.14527530000000019</c:v>
                </c:pt>
                <c:pt idx="6">
                  <c:v>0.17873979999999998</c:v>
                </c:pt>
                <c:pt idx="7">
                  <c:v>0.21653500000000001</c:v>
                </c:pt>
                <c:pt idx="8">
                  <c:v>0.25314910000000002</c:v>
                </c:pt>
                <c:pt idx="9">
                  <c:v>0.27834590000000003</c:v>
                </c:pt>
                <c:pt idx="10">
                  <c:v>0.30708600000000019</c:v>
                </c:pt>
                <c:pt idx="11">
                  <c:v>0.35826700000000006</c:v>
                </c:pt>
                <c:pt idx="12">
                  <c:v>0.45196759999999991</c:v>
                </c:pt>
                <c:pt idx="13">
                  <c:v>0.56810910000000003</c:v>
                </c:pt>
                <c:pt idx="14">
                  <c:v>0.68425060000000015</c:v>
                </c:pt>
                <c:pt idx="15">
                  <c:v>0.79527400000000015</c:v>
                </c:pt>
                <c:pt idx="16">
                  <c:v>0.92480129999999983</c:v>
                </c:pt>
                <c:pt idx="17">
                  <c:v>1.0444861000000001</c:v>
                </c:pt>
                <c:pt idx="18">
                  <c:v>1.2342494999999998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4C-42EB-93B2-EED0960243C5}"/>
            </c:ext>
          </c:extLst>
        </c:ser>
        <c:ser>
          <c:idx val="2"/>
          <c:order val="2"/>
          <c:tx>
            <c:v>NCX2024-3 Bore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1587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xVal>
            <c:numRef>
              <c:f>'NCX2024-3'!$B$19:$B$40</c:f>
              <c:numCache>
                <c:formatCode>0</c:formatCode>
                <c:ptCount val="22"/>
                <c:pt idx="0">
                  <c:v>0</c:v>
                </c:pt>
                <c:pt idx="1">
                  <c:v>4272</c:v>
                </c:pt>
                <c:pt idx="2">
                  <c:v>22018</c:v>
                </c:pt>
                <c:pt idx="3">
                  <c:v>43452</c:v>
                </c:pt>
                <c:pt idx="4">
                  <c:v>64089</c:v>
                </c:pt>
                <c:pt idx="5">
                  <c:v>86898</c:v>
                </c:pt>
                <c:pt idx="6">
                  <c:v>99767</c:v>
                </c:pt>
                <c:pt idx="7">
                  <c:v>108835</c:v>
                </c:pt>
                <c:pt idx="8">
                  <c:v>119823</c:v>
                </c:pt>
                <c:pt idx="9">
                  <c:v>128382</c:v>
                </c:pt>
                <c:pt idx="10">
                  <c:v>134657</c:v>
                </c:pt>
                <c:pt idx="11">
                  <c:v>140078</c:v>
                </c:pt>
                <c:pt idx="12">
                  <c:v>148047</c:v>
                </c:pt>
                <c:pt idx="13">
                  <c:v>161487</c:v>
                </c:pt>
                <c:pt idx="14">
                  <c:v>172394</c:v>
                </c:pt>
                <c:pt idx="15">
                  <c:v>180415</c:v>
                </c:pt>
                <c:pt idx="16">
                  <c:v>191004</c:v>
                </c:pt>
                <c:pt idx="17">
                  <c:v>197846</c:v>
                </c:pt>
                <c:pt idx="18">
                  <c:v>205065</c:v>
                </c:pt>
                <c:pt idx="19">
                  <c:v>214678</c:v>
                </c:pt>
                <c:pt idx="20">
                  <c:v>221068</c:v>
                </c:pt>
                <c:pt idx="21">
                  <c:v>226128</c:v>
                </c:pt>
              </c:numCache>
            </c:numRef>
          </c:xVal>
          <c:yVal>
            <c:numRef>
              <c:f>'NCX2024-3'!$G$19:$G$27</c:f>
              <c:numCache>
                <c:formatCode>0.0000</c:formatCode>
                <c:ptCount val="9"/>
                <c:pt idx="0">
                  <c:v>7.5000000000000011E-2</c:v>
                </c:pt>
                <c:pt idx="1">
                  <c:v>7.636070071927506E-2</c:v>
                </c:pt>
                <c:pt idx="2">
                  <c:v>8.7613856614747201E-2</c:v>
                </c:pt>
                <c:pt idx="3">
                  <c:v>0.10449359045795538</c:v>
                </c:pt>
                <c:pt idx="4">
                  <c:v>0.12378471485019281</c:v>
                </c:pt>
                <c:pt idx="5">
                  <c:v>0.15352519828822656</c:v>
                </c:pt>
                <c:pt idx="6">
                  <c:v>0.16960113528175774</c:v>
                </c:pt>
                <c:pt idx="7">
                  <c:v>0.192107447072702</c:v>
                </c:pt>
                <c:pt idx="8">
                  <c:v>0.23149349270685443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4C-42EB-93B2-EED0960243C5}"/>
            </c:ext>
          </c:extLst>
        </c:ser>
        <c:ser>
          <c:idx val="3"/>
          <c:order val="3"/>
          <c:tx>
            <c:v>NCX2024-4 Bore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15875">
                <a:solidFill>
                  <a:schemeClr val="accent2"/>
                </a:solidFill>
              </a:ln>
              <a:effectLst/>
            </c:spPr>
          </c:marker>
          <c:xVal>
            <c:numRef>
              <c:f>'NCX2024-4'!$B$19:$B$37</c:f>
              <c:numCache>
                <c:formatCode>0</c:formatCode>
                <c:ptCount val="19"/>
                <c:pt idx="0">
                  <c:v>-1.0958307640976273E-2</c:v>
                </c:pt>
                <c:pt idx="1">
                  <c:v>25132</c:v>
                </c:pt>
                <c:pt idx="2">
                  <c:v>52405</c:v>
                </c:pt>
                <c:pt idx="3">
                  <c:v>79344</c:v>
                </c:pt>
                <c:pt idx="4">
                  <c:v>97792</c:v>
                </c:pt>
                <c:pt idx="5">
                  <c:v>116580</c:v>
                </c:pt>
                <c:pt idx="6">
                  <c:v>140403</c:v>
                </c:pt>
                <c:pt idx="7">
                  <c:v>157497</c:v>
                </c:pt>
                <c:pt idx="8">
                  <c:v>169658</c:v>
                </c:pt>
                <c:pt idx="9">
                  <c:v>176855</c:v>
                </c:pt>
                <c:pt idx="10">
                  <c:v>183390</c:v>
                </c:pt>
                <c:pt idx="11">
                  <c:v>192929</c:v>
                </c:pt>
                <c:pt idx="12">
                  <c:v>204891</c:v>
                </c:pt>
                <c:pt idx="13">
                  <c:v>219412</c:v>
                </c:pt>
                <c:pt idx="14">
                  <c:v>232591</c:v>
                </c:pt>
                <c:pt idx="15">
                  <c:v>244414</c:v>
                </c:pt>
                <c:pt idx="16">
                  <c:v>254293</c:v>
                </c:pt>
                <c:pt idx="17">
                  <c:v>264372</c:v>
                </c:pt>
                <c:pt idx="18">
                  <c:v>283844</c:v>
                </c:pt>
              </c:numCache>
            </c:numRef>
          </c:xVal>
          <c:yVal>
            <c:numRef>
              <c:f>'NCX2024-4'!$G$19:$G$27</c:f>
              <c:numCache>
                <c:formatCode>0.0000</c:formatCode>
                <c:ptCount val="9"/>
                <c:pt idx="0">
                  <c:v>0.06</c:v>
                </c:pt>
                <c:pt idx="1">
                  <c:v>7.4103494229666417E-2</c:v>
                </c:pt>
                <c:pt idx="2">
                  <c:v>9.4313538110484735E-2</c:v>
                </c:pt>
                <c:pt idx="3">
                  <c:v>0.12051174314117441</c:v>
                </c:pt>
                <c:pt idx="4">
                  <c:v>0.13922474673452448</c:v>
                </c:pt>
                <c:pt idx="5">
                  <c:v>0.15344662946547089</c:v>
                </c:pt>
                <c:pt idx="6">
                  <c:v>0.18638151578976683</c:v>
                </c:pt>
                <c:pt idx="7">
                  <c:v>0.20734007981431846</c:v>
                </c:pt>
                <c:pt idx="8">
                  <c:v>0.2327897647012748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64C-42EB-93B2-EED096024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366984"/>
        <c:axId val="975370264"/>
      </c:scatterChart>
      <c:valAx>
        <c:axId val="9753669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70264"/>
        <c:crosses val="autoZero"/>
        <c:crossBetween val="midCat"/>
      </c:valAx>
      <c:valAx>
        <c:axId val="97537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Crack Length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6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606477434815188"/>
          <c:y val="2.9421772149639324E-2"/>
          <c:w val="0.43441776991936887"/>
          <c:h val="0.2362565027021306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NCX2024-3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'NCX2024-3'!$J$17:$J$27</c:f>
              <c:numCache>
                <c:formatCode>0.00</c:formatCode>
                <c:ptCount val="11"/>
                <c:pt idx="0">
                  <c:v>0.19936693515599999</c:v>
                </c:pt>
                <c:pt idx="1">
                  <c:v>0.24999980757657297</c:v>
                </c:pt>
                <c:pt idx="2">
                  <c:v>0.29527559055118113</c:v>
                </c:pt>
                <c:pt idx="3">
                  <c:v>0.30063267999714588</c:v>
                </c:pt>
                <c:pt idx="4">
                  <c:v>0.34493644336514645</c:v>
                </c:pt>
                <c:pt idx="5">
                  <c:v>0.41139208841714714</c:v>
                </c:pt>
                <c:pt idx="6">
                  <c:v>0.48734139704800317</c:v>
                </c:pt>
                <c:pt idx="7">
                  <c:v>0.60442991452057693</c:v>
                </c:pt>
                <c:pt idx="8">
                  <c:v>0.66772100504629028</c:v>
                </c:pt>
                <c:pt idx="9">
                  <c:v>0.75632853178229131</c:v>
                </c:pt>
                <c:pt idx="10">
                  <c:v>0.91139170357029298</c:v>
                </c:pt>
              </c:numCache>
            </c:numRef>
          </c:xVal>
          <c:yVal>
            <c:numRef>
              <c:f>'NCX2024-3'!$I$17:$I$27</c:f>
              <c:numCache>
                <c:formatCode>0.00</c:formatCode>
                <c:ptCount val="11"/>
                <c:pt idx="0">
                  <c:v>2.1800649005576953</c:v>
                </c:pt>
                <c:pt idx="1">
                  <c:v>1.5508672926586424</c:v>
                </c:pt>
                <c:pt idx="2">
                  <c:v>1.5000000000000002</c:v>
                </c:pt>
                <c:pt idx="3">
                  <c:v>1.4583200581961981</c:v>
                </c:pt>
                <c:pt idx="4">
                  <c:v>1.3325726998846672</c:v>
                </c:pt>
                <c:pt idx="5">
                  <c:v>1.3074593625207276</c:v>
                </c:pt>
                <c:pt idx="6">
                  <c:v>1.2281789240121037</c:v>
                </c:pt>
                <c:pt idx="7">
                  <c:v>1.1605797129811386</c:v>
                </c:pt>
                <c:pt idx="8">
                  <c:v>1.0430696009471059</c:v>
                </c:pt>
                <c:pt idx="9">
                  <c:v>0.9999055153123888</c:v>
                </c:pt>
                <c:pt idx="10">
                  <c:v>1.040698491087974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9D-4DC4-96A8-FEC7BA2F4B2E}"/>
            </c:ext>
          </c:extLst>
        </c:ser>
        <c:ser>
          <c:idx val="1"/>
          <c:order val="1"/>
          <c:tx>
            <c:v>NCX2024-4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'NCX2024-4'!$J$17:$J$27</c:f>
              <c:numCache>
                <c:formatCode>0.00</c:formatCode>
                <c:ptCount val="11"/>
                <c:pt idx="0">
                  <c:v>7.1005863437218236E-2</c:v>
                </c:pt>
                <c:pt idx="1">
                  <c:v>0.168638925663392</c:v>
                </c:pt>
                <c:pt idx="2">
                  <c:v>0.23715415019762845</c:v>
                </c:pt>
                <c:pt idx="3">
                  <c:v>0.29289918667852338</c:v>
                </c:pt>
                <c:pt idx="4">
                  <c:v>0.37278078304539419</c:v>
                </c:pt>
                <c:pt idx="5">
                  <c:v>0.47633100055800159</c:v>
                </c:pt>
                <c:pt idx="6">
                  <c:v>0.55029544163843669</c:v>
                </c:pt>
                <c:pt idx="7">
                  <c:v>0.60650841685956869</c:v>
                </c:pt>
                <c:pt idx="8">
                  <c:v>0.73668583316113367</c:v>
                </c:pt>
                <c:pt idx="9">
                  <c:v>0.81952600717121915</c:v>
                </c:pt>
                <c:pt idx="10">
                  <c:v>0.92011764704061183</c:v>
                </c:pt>
              </c:numCache>
            </c:numRef>
          </c:xVal>
          <c:yVal>
            <c:numRef>
              <c:f>'NCX2024-4'!$I$17:$I$27</c:f>
              <c:numCache>
                <c:formatCode>0.00</c:formatCode>
                <c:ptCount val="11"/>
                <c:pt idx="0">
                  <c:v>0.87749767734198758</c:v>
                </c:pt>
                <c:pt idx="1">
                  <c:v>1.1172264242446948</c:v>
                </c:pt>
                <c:pt idx="2">
                  <c:v>1.2</c:v>
                </c:pt>
                <c:pt idx="3">
                  <c:v>1.2892003547250421</c:v>
                </c:pt>
                <c:pt idx="4">
                  <c:v>1.281052758900334</c:v>
                </c:pt>
                <c:pt idx="5">
                  <c:v>1.2807549781567467</c:v>
                </c:pt>
                <c:pt idx="6">
                  <c:v>1.194701229624392</c:v>
                </c:pt>
                <c:pt idx="7">
                  <c:v>1.0562472042079465</c:v>
                </c:pt>
                <c:pt idx="8">
                  <c:v>1.0427532971938362</c:v>
                </c:pt>
                <c:pt idx="9">
                  <c:v>0.9575361018510562</c:v>
                </c:pt>
                <c:pt idx="10">
                  <c:v>0.91957571526533088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9D-4DC4-96A8-FEC7BA2F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366984"/>
        <c:axId val="975370264"/>
      </c:scatterChart>
      <c:valAx>
        <c:axId val="97536698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70264"/>
        <c:crosses val="autoZero"/>
        <c:crossBetween val="midCat"/>
      </c:valAx>
      <c:valAx>
        <c:axId val="97537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6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389085150866891"/>
          <c:y val="3.549373591674939E-2"/>
          <c:w val="0.38322459809943943"/>
          <c:h val="0.2510892481458597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CX2024-2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'CX2024-2'!$B$16:$B$30</c:f>
              <c:numCache>
                <c:formatCode>0</c:formatCode>
                <c:ptCount val="15"/>
                <c:pt idx="0">
                  <c:v>0</c:v>
                </c:pt>
                <c:pt idx="1">
                  <c:v>9875</c:v>
                </c:pt>
                <c:pt idx="2">
                  <c:v>31437</c:v>
                </c:pt>
                <c:pt idx="3">
                  <c:v>61797</c:v>
                </c:pt>
                <c:pt idx="4">
                  <c:v>82687</c:v>
                </c:pt>
                <c:pt idx="5">
                  <c:v>103125</c:v>
                </c:pt>
                <c:pt idx="6">
                  <c:v>125835</c:v>
                </c:pt>
                <c:pt idx="7">
                  <c:v>149381</c:v>
                </c:pt>
                <c:pt idx="8">
                  <c:v>189353</c:v>
                </c:pt>
                <c:pt idx="9">
                  <c:v>239343</c:v>
                </c:pt>
                <c:pt idx="10">
                  <c:v>290928</c:v>
                </c:pt>
                <c:pt idx="11">
                  <c:v>339351</c:v>
                </c:pt>
                <c:pt idx="12">
                  <c:v>389383</c:v>
                </c:pt>
                <c:pt idx="13">
                  <c:v>399417</c:v>
                </c:pt>
                <c:pt idx="14">
                  <c:v>404371</c:v>
                </c:pt>
              </c:numCache>
            </c:numRef>
          </c:xVal>
          <c:yVal>
            <c:numRef>
              <c:f>'CX2024-2'!$C$16:$C$30</c:f>
              <c:numCache>
                <c:formatCode>0.0000</c:formatCode>
                <c:ptCount val="15"/>
                <c:pt idx="0">
                  <c:v>0.05</c:v>
                </c:pt>
                <c:pt idx="1">
                  <c:v>6.496430000000003E-2</c:v>
                </c:pt>
                <c:pt idx="2">
                  <c:v>7.2050900000000015E-2</c:v>
                </c:pt>
                <c:pt idx="3">
                  <c:v>9.4885500000000234E-2</c:v>
                </c:pt>
                <c:pt idx="4">
                  <c:v>9.7641399999999962E-2</c:v>
                </c:pt>
                <c:pt idx="5">
                  <c:v>0.10669649999999983</c:v>
                </c:pt>
                <c:pt idx="6">
                  <c:v>0.11378309999999983</c:v>
                </c:pt>
                <c:pt idx="7">
                  <c:v>0.12323189999999991</c:v>
                </c:pt>
                <c:pt idx="8">
                  <c:v>0.13228700000000007</c:v>
                </c:pt>
                <c:pt idx="9">
                  <c:v>0.15197200000000005</c:v>
                </c:pt>
                <c:pt idx="10">
                  <c:v>0.16575149999999983</c:v>
                </c:pt>
                <c:pt idx="11">
                  <c:v>0.18779869999999993</c:v>
                </c:pt>
                <c:pt idx="12">
                  <c:v>0.29527880000000012</c:v>
                </c:pt>
                <c:pt idx="13">
                  <c:v>0.43425489999999989</c:v>
                </c:pt>
                <c:pt idx="14">
                  <c:v>0.73976610000000009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1C-495E-BEA6-1C34D1254EAD}"/>
            </c:ext>
          </c:extLst>
        </c:ser>
        <c:ser>
          <c:idx val="1"/>
          <c:order val="1"/>
          <c:tx>
            <c:v>CX2024-4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'CX2024-4'!$B$16:$B$36</c:f>
              <c:numCache>
                <c:formatCode>0</c:formatCode>
                <c:ptCount val="21"/>
                <c:pt idx="0">
                  <c:v>0</c:v>
                </c:pt>
                <c:pt idx="1">
                  <c:v>2780</c:v>
                </c:pt>
                <c:pt idx="2">
                  <c:v>10510</c:v>
                </c:pt>
                <c:pt idx="3">
                  <c:v>57718</c:v>
                </c:pt>
                <c:pt idx="4">
                  <c:v>75044</c:v>
                </c:pt>
                <c:pt idx="5">
                  <c:v>111214</c:v>
                </c:pt>
                <c:pt idx="6">
                  <c:v>148799</c:v>
                </c:pt>
                <c:pt idx="7">
                  <c:v>214735</c:v>
                </c:pt>
                <c:pt idx="8">
                  <c:v>267966</c:v>
                </c:pt>
                <c:pt idx="9">
                  <c:v>320541</c:v>
                </c:pt>
                <c:pt idx="10">
                  <c:v>356730</c:v>
                </c:pt>
                <c:pt idx="11">
                  <c:v>389032</c:v>
                </c:pt>
                <c:pt idx="12">
                  <c:v>409631</c:v>
                </c:pt>
                <c:pt idx="13">
                  <c:v>424338</c:v>
                </c:pt>
                <c:pt idx="14">
                  <c:v>436948</c:v>
                </c:pt>
                <c:pt idx="15">
                  <c:v>444046</c:v>
                </c:pt>
                <c:pt idx="16">
                  <c:v>448961</c:v>
                </c:pt>
                <c:pt idx="17">
                  <c:v>452047</c:v>
                </c:pt>
                <c:pt idx="18">
                  <c:v>454980</c:v>
                </c:pt>
                <c:pt idx="19">
                  <c:v>456826</c:v>
                </c:pt>
                <c:pt idx="20">
                  <c:v>457952</c:v>
                </c:pt>
              </c:numCache>
            </c:numRef>
          </c:xVal>
          <c:yVal>
            <c:numRef>
              <c:f>'CX2024-4'!$C$16:$C$36</c:f>
              <c:numCache>
                <c:formatCode>0.0000</c:formatCode>
                <c:ptCount val="21"/>
                <c:pt idx="0">
                  <c:v>0.05</c:v>
                </c:pt>
                <c:pt idx="1">
                  <c:v>5.5114000000000114E-2</c:v>
                </c:pt>
                <c:pt idx="2">
                  <c:v>6.8893499999999885E-2</c:v>
                </c:pt>
                <c:pt idx="3">
                  <c:v>8.5035199999999755E-2</c:v>
                </c:pt>
                <c:pt idx="4">
                  <c:v>9.7239899999999851E-2</c:v>
                </c:pt>
                <c:pt idx="5">
                  <c:v>0.10944459999999995</c:v>
                </c:pt>
                <c:pt idx="6">
                  <c:v>0.12361779999999992</c:v>
                </c:pt>
                <c:pt idx="7">
                  <c:v>0.13897209999999993</c:v>
                </c:pt>
                <c:pt idx="8">
                  <c:v>0.15275160000000026</c:v>
                </c:pt>
                <c:pt idx="9">
                  <c:v>0.16653110000000004</c:v>
                </c:pt>
                <c:pt idx="10">
                  <c:v>0.18109799999999968</c:v>
                </c:pt>
                <c:pt idx="11">
                  <c:v>0.19881450000000034</c:v>
                </c:pt>
                <c:pt idx="12">
                  <c:v>0.22361760000000017</c:v>
                </c:pt>
                <c:pt idx="13">
                  <c:v>0.24015300000000023</c:v>
                </c:pt>
                <c:pt idx="14">
                  <c:v>0.27283010000000019</c:v>
                </c:pt>
                <c:pt idx="15">
                  <c:v>0.30550720000000009</c:v>
                </c:pt>
                <c:pt idx="16">
                  <c:v>0.3539322999999997</c:v>
                </c:pt>
                <c:pt idx="17">
                  <c:v>0.40432589999999974</c:v>
                </c:pt>
                <c:pt idx="18">
                  <c:v>0.4799162999999998</c:v>
                </c:pt>
                <c:pt idx="19">
                  <c:v>0.56259329999999963</c:v>
                </c:pt>
                <c:pt idx="20">
                  <c:v>0.65393169999999989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1C-495E-BEA6-1C34D1254EAD}"/>
            </c:ext>
          </c:extLst>
        </c:ser>
        <c:ser>
          <c:idx val="2"/>
          <c:order val="2"/>
          <c:tx>
            <c:v>CX2024-5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'CX2024-5'!$B$17:$B$35</c:f>
              <c:numCache>
                <c:formatCode>0</c:formatCode>
                <c:ptCount val="19"/>
                <c:pt idx="0">
                  <c:v>0</c:v>
                </c:pt>
                <c:pt idx="1">
                  <c:v>16402</c:v>
                </c:pt>
                <c:pt idx="2">
                  <c:v>45402</c:v>
                </c:pt>
                <c:pt idx="3">
                  <c:v>75889</c:v>
                </c:pt>
                <c:pt idx="4">
                  <c:v>112871</c:v>
                </c:pt>
                <c:pt idx="5">
                  <c:v>157080</c:v>
                </c:pt>
                <c:pt idx="6">
                  <c:v>221815</c:v>
                </c:pt>
                <c:pt idx="7">
                  <c:v>296580</c:v>
                </c:pt>
                <c:pt idx="8">
                  <c:v>368498</c:v>
                </c:pt>
                <c:pt idx="9">
                  <c:v>440851</c:v>
                </c:pt>
                <c:pt idx="10">
                  <c:v>504151</c:v>
                </c:pt>
                <c:pt idx="11">
                  <c:v>560867</c:v>
                </c:pt>
                <c:pt idx="12">
                  <c:v>577935</c:v>
                </c:pt>
                <c:pt idx="13">
                  <c:v>591030</c:v>
                </c:pt>
                <c:pt idx="14">
                  <c:v>603371</c:v>
                </c:pt>
                <c:pt idx="15">
                  <c:v>612615</c:v>
                </c:pt>
                <c:pt idx="16">
                  <c:v>621114</c:v>
                </c:pt>
                <c:pt idx="17">
                  <c:v>625294</c:v>
                </c:pt>
                <c:pt idx="18">
                  <c:v>627005</c:v>
                </c:pt>
              </c:numCache>
            </c:numRef>
          </c:xVal>
          <c:yVal>
            <c:numRef>
              <c:f>'CX2024-5'!$C$17:$C$35</c:f>
              <c:numCache>
                <c:formatCode>0.0000</c:formatCode>
                <c:ptCount val="19"/>
                <c:pt idx="0">
                  <c:v>5.0001500000000115E-2</c:v>
                </c:pt>
                <c:pt idx="1">
                  <c:v>6.1025099999999603E-2</c:v>
                </c:pt>
                <c:pt idx="2">
                  <c:v>7.4410899999999738E-2</c:v>
                </c:pt>
                <c:pt idx="3">
                  <c:v>8.2284899999999842E-2</c:v>
                </c:pt>
                <c:pt idx="4">
                  <c:v>9.2914799999999687E-2</c:v>
                </c:pt>
                <c:pt idx="5">
                  <c:v>0.10708800000000022</c:v>
                </c:pt>
                <c:pt idx="6">
                  <c:v>0.12283599999999989</c:v>
                </c:pt>
                <c:pt idx="7">
                  <c:v>0.13858400000000012</c:v>
                </c:pt>
                <c:pt idx="8">
                  <c:v>0.15472569999999999</c:v>
                </c:pt>
                <c:pt idx="9">
                  <c:v>0.17401699999999978</c:v>
                </c:pt>
                <c:pt idx="10">
                  <c:v>0.20000120000000021</c:v>
                </c:pt>
                <c:pt idx="11">
                  <c:v>0.22519800000000023</c:v>
                </c:pt>
                <c:pt idx="12">
                  <c:v>0.24527669999999988</c:v>
                </c:pt>
                <c:pt idx="13">
                  <c:v>0.26889870000000021</c:v>
                </c:pt>
                <c:pt idx="14">
                  <c:v>0.30039470000000013</c:v>
                </c:pt>
                <c:pt idx="15">
                  <c:v>0.34330799999999967</c:v>
                </c:pt>
                <c:pt idx="16">
                  <c:v>0.43818970000000013</c:v>
                </c:pt>
                <c:pt idx="17">
                  <c:v>0.54133909999999963</c:v>
                </c:pt>
                <c:pt idx="18">
                  <c:v>0.65078770000000041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81C-495E-BEA6-1C34D1254EAD}"/>
            </c:ext>
          </c:extLst>
        </c:ser>
        <c:ser>
          <c:idx val="3"/>
          <c:order val="3"/>
          <c:tx>
            <c:v>CX2024-6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'CX2024-6'!$B$17:$B$39</c:f>
              <c:numCache>
                <c:formatCode>0</c:formatCode>
                <c:ptCount val="23"/>
                <c:pt idx="0">
                  <c:v>0</c:v>
                </c:pt>
                <c:pt idx="1">
                  <c:v>3668</c:v>
                </c:pt>
                <c:pt idx="2">
                  <c:v>33144</c:v>
                </c:pt>
                <c:pt idx="3">
                  <c:v>63176</c:v>
                </c:pt>
                <c:pt idx="4">
                  <c:v>103172</c:v>
                </c:pt>
                <c:pt idx="5">
                  <c:v>143210</c:v>
                </c:pt>
                <c:pt idx="6">
                  <c:v>183170</c:v>
                </c:pt>
                <c:pt idx="7">
                  <c:v>223166</c:v>
                </c:pt>
                <c:pt idx="8">
                  <c:v>263173</c:v>
                </c:pt>
                <c:pt idx="9">
                  <c:v>304363</c:v>
                </c:pt>
                <c:pt idx="10">
                  <c:v>343162</c:v>
                </c:pt>
                <c:pt idx="11">
                  <c:v>383155</c:v>
                </c:pt>
                <c:pt idx="12">
                  <c:v>423160</c:v>
                </c:pt>
                <c:pt idx="13">
                  <c:v>464772</c:v>
                </c:pt>
                <c:pt idx="14">
                  <c:v>503158</c:v>
                </c:pt>
                <c:pt idx="15">
                  <c:v>544015</c:v>
                </c:pt>
                <c:pt idx="16">
                  <c:v>583161</c:v>
                </c:pt>
                <c:pt idx="17">
                  <c:v>603151</c:v>
                </c:pt>
                <c:pt idx="18">
                  <c:v>618205</c:v>
                </c:pt>
                <c:pt idx="19">
                  <c:v>626507</c:v>
                </c:pt>
                <c:pt idx="20">
                  <c:v>634568</c:v>
                </c:pt>
                <c:pt idx="21">
                  <c:v>638075</c:v>
                </c:pt>
                <c:pt idx="22">
                  <c:v>639676</c:v>
                </c:pt>
              </c:numCache>
            </c:numRef>
          </c:xVal>
          <c:yVal>
            <c:numRef>
              <c:f>'CX2024-6'!$C$17:$C$39</c:f>
              <c:numCache>
                <c:formatCode>0.0000</c:formatCode>
                <c:ptCount val="23"/>
                <c:pt idx="0">
                  <c:v>0.05</c:v>
                </c:pt>
                <c:pt idx="1">
                  <c:v>5.1971399999999959E-2</c:v>
                </c:pt>
                <c:pt idx="2">
                  <c:v>6.0239099999999712E-2</c:v>
                </c:pt>
                <c:pt idx="3">
                  <c:v>7.1656399999999953E-2</c:v>
                </c:pt>
                <c:pt idx="4">
                  <c:v>8.3861100000000049E-2</c:v>
                </c:pt>
                <c:pt idx="5">
                  <c:v>9.3703600000000054E-2</c:v>
                </c:pt>
                <c:pt idx="6">
                  <c:v>0.10000279999999992</c:v>
                </c:pt>
                <c:pt idx="7">
                  <c:v>0.11023900000000011</c:v>
                </c:pt>
                <c:pt idx="8">
                  <c:v>0.11811300000000023</c:v>
                </c:pt>
                <c:pt idx="9">
                  <c:v>0.12756180000000003</c:v>
                </c:pt>
                <c:pt idx="10">
                  <c:v>0.1370106000000004</c:v>
                </c:pt>
                <c:pt idx="11">
                  <c:v>0.14685309999999982</c:v>
                </c:pt>
                <c:pt idx="12">
                  <c:v>0.1559082</c:v>
                </c:pt>
                <c:pt idx="13">
                  <c:v>0.16771920000000043</c:v>
                </c:pt>
                <c:pt idx="14">
                  <c:v>0.18071130000000038</c:v>
                </c:pt>
                <c:pt idx="15">
                  <c:v>0.19724670000000044</c:v>
                </c:pt>
                <c:pt idx="16">
                  <c:v>0.21811279999999991</c:v>
                </c:pt>
                <c:pt idx="17">
                  <c:v>0.23622300000000024</c:v>
                </c:pt>
                <c:pt idx="18">
                  <c:v>0.27441190000000021</c:v>
                </c:pt>
                <c:pt idx="19">
                  <c:v>0.32323069999999998</c:v>
                </c:pt>
                <c:pt idx="20">
                  <c:v>0.44094700000000037</c:v>
                </c:pt>
                <c:pt idx="21">
                  <c:v>0.56023809999999996</c:v>
                </c:pt>
                <c:pt idx="22">
                  <c:v>0.76181250000000011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81C-495E-BEA6-1C34D1254EAD}"/>
            </c:ext>
          </c:extLst>
        </c:ser>
        <c:ser>
          <c:idx val="4"/>
          <c:order val="4"/>
          <c:tx>
            <c:v>CX2024-11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'CX2024-11'!$B$17:$B$34</c:f>
              <c:numCache>
                <c:formatCode>0</c:formatCode>
                <c:ptCount val="18"/>
                <c:pt idx="0">
                  <c:v>0</c:v>
                </c:pt>
                <c:pt idx="1">
                  <c:v>10743</c:v>
                </c:pt>
                <c:pt idx="2">
                  <c:v>57627</c:v>
                </c:pt>
                <c:pt idx="3">
                  <c:v>144767</c:v>
                </c:pt>
                <c:pt idx="4">
                  <c:v>251733</c:v>
                </c:pt>
                <c:pt idx="5">
                  <c:v>349439</c:v>
                </c:pt>
                <c:pt idx="6">
                  <c:v>436934</c:v>
                </c:pt>
                <c:pt idx="7">
                  <c:v>521063</c:v>
                </c:pt>
                <c:pt idx="8">
                  <c:v>562785</c:v>
                </c:pt>
                <c:pt idx="9">
                  <c:v>586444</c:v>
                </c:pt>
                <c:pt idx="10">
                  <c:v>595284</c:v>
                </c:pt>
                <c:pt idx="11">
                  <c:v>601884</c:v>
                </c:pt>
                <c:pt idx="12">
                  <c:v>605940</c:v>
                </c:pt>
                <c:pt idx="13">
                  <c:v>608331</c:v>
                </c:pt>
                <c:pt idx="14">
                  <c:v>610384</c:v>
                </c:pt>
                <c:pt idx="15">
                  <c:v>611940</c:v>
                </c:pt>
                <c:pt idx="16">
                  <c:v>613190</c:v>
                </c:pt>
                <c:pt idx="17">
                  <c:v>613855</c:v>
                </c:pt>
              </c:numCache>
            </c:numRef>
          </c:xVal>
          <c:yVal>
            <c:numRef>
              <c:f>'CX2024-11'!$C$17:$C$34</c:f>
              <c:numCache>
                <c:formatCode>0.0000</c:formatCode>
                <c:ptCount val="18"/>
                <c:pt idx="0">
                  <c:v>0.05</c:v>
                </c:pt>
                <c:pt idx="1">
                  <c:v>5.7873899999999957E-2</c:v>
                </c:pt>
                <c:pt idx="2">
                  <c:v>7.2834499999999774E-2</c:v>
                </c:pt>
                <c:pt idx="3">
                  <c:v>9.6850199999999761E-2</c:v>
                </c:pt>
                <c:pt idx="4">
                  <c:v>0.11811000000000001</c:v>
                </c:pt>
                <c:pt idx="5">
                  <c:v>0.14055089999999973</c:v>
                </c:pt>
                <c:pt idx="6">
                  <c:v>0.16181069999999997</c:v>
                </c:pt>
                <c:pt idx="7">
                  <c:v>0.18818860000000007</c:v>
                </c:pt>
                <c:pt idx="8">
                  <c:v>0.21850349999999991</c:v>
                </c:pt>
                <c:pt idx="9">
                  <c:v>0.26023570000000001</c:v>
                </c:pt>
                <c:pt idx="10">
                  <c:v>0.28818840000000029</c:v>
                </c:pt>
                <c:pt idx="11">
                  <c:v>0.33110169999999989</c:v>
                </c:pt>
                <c:pt idx="12">
                  <c:v>0.38818819999999998</c:v>
                </c:pt>
                <c:pt idx="13">
                  <c:v>0.43740069999999998</c:v>
                </c:pt>
                <c:pt idx="14">
                  <c:v>0.4885816999999999</c:v>
                </c:pt>
                <c:pt idx="15">
                  <c:v>0.54094379999999986</c:v>
                </c:pt>
                <c:pt idx="16">
                  <c:v>0.63582550000000027</c:v>
                </c:pt>
                <c:pt idx="17">
                  <c:v>0.72952610000000007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81C-495E-BEA6-1C34D1254EAD}"/>
            </c:ext>
          </c:extLst>
        </c:ser>
        <c:ser>
          <c:idx val="5"/>
          <c:order val="5"/>
          <c:tx>
            <c:v>CX2024-12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'CX2024-12'!$B$17:$B$35</c:f>
              <c:numCache>
                <c:formatCode>0</c:formatCode>
                <c:ptCount val="19"/>
                <c:pt idx="0">
                  <c:v>0</c:v>
                </c:pt>
                <c:pt idx="1">
                  <c:v>6486</c:v>
                </c:pt>
                <c:pt idx="2">
                  <c:v>44423</c:v>
                </c:pt>
                <c:pt idx="3">
                  <c:v>80381</c:v>
                </c:pt>
                <c:pt idx="4">
                  <c:v>132042</c:v>
                </c:pt>
                <c:pt idx="5">
                  <c:v>190491</c:v>
                </c:pt>
                <c:pt idx="6">
                  <c:v>254685</c:v>
                </c:pt>
                <c:pt idx="7">
                  <c:v>304660</c:v>
                </c:pt>
                <c:pt idx="8">
                  <c:v>340987</c:v>
                </c:pt>
                <c:pt idx="9">
                  <c:v>368486</c:v>
                </c:pt>
                <c:pt idx="10">
                  <c:v>392521</c:v>
                </c:pt>
                <c:pt idx="11">
                  <c:v>407187</c:v>
                </c:pt>
                <c:pt idx="12">
                  <c:v>418557</c:v>
                </c:pt>
                <c:pt idx="13">
                  <c:v>426876</c:v>
                </c:pt>
                <c:pt idx="14">
                  <c:v>433166</c:v>
                </c:pt>
                <c:pt idx="15">
                  <c:v>440129</c:v>
                </c:pt>
                <c:pt idx="16">
                  <c:v>446147</c:v>
                </c:pt>
                <c:pt idx="17">
                  <c:v>450339</c:v>
                </c:pt>
                <c:pt idx="18">
                  <c:v>452782</c:v>
                </c:pt>
              </c:numCache>
            </c:numRef>
          </c:xVal>
          <c:yVal>
            <c:numRef>
              <c:f>'CX2024-12'!$C$17:$C$35</c:f>
              <c:numCache>
                <c:formatCode>0.0000</c:formatCode>
                <c:ptCount val="19"/>
                <c:pt idx="0">
                  <c:v>0.05</c:v>
                </c:pt>
                <c:pt idx="1">
                  <c:v>5.3546200000000203E-2</c:v>
                </c:pt>
                <c:pt idx="2">
                  <c:v>6.8113099999999829E-2</c:v>
                </c:pt>
                <c:pt idx="3">
                  <c:v>8.3861100000000049E-2</c:v>
                </c:pt>
                <c:pt idx="4">
                  <c:v>0.10000279999999992</c:v>
                </c:pt>
                <c:pt idx="5">
                  <c:v>0.1149634000000003</c:v>
                </c:pt>
                <c:pt idx="6">
                  <c:v>0.1295302999999999</c:v>
                </c:pt>
                <c:pt idx="7">
                  <c:v>0.14921529999999991</c:v>
                </c:pt>
                <c:pt idx="8">
                  <c:v>0.16693180000000002</c:v>
                </c:pt>
                <c:pt idx="9">
                  <c:v>0.18622309999999984</c:v>
                </c:pt>
                <c:pt idx="10">
                  <c:v>0.20827029999999991</c:v>
                </c:pt>
                <c:pt idx="11">
                  <c:v>0.22795529999999992</c:v>
                </c:pt>
                <c:pt idx="12">
                  <c:v>0.24764029999999992</c:v>
                </c:pt>
                <c:pt idx="13">
                  <c:v>0.27047489999999985</c:v>
                </c:pt>
                <c:pt idx="14">
                  <c:v>0.30315199999999981</c:v>
                </c:pt>
                <c:pt idx="15">
                  <c:v>0.34488419999999986</c:v>
                </c:pt>
                <c:pt idx="16">
                  <c:v>0.40984470000000012</c:v>
                </c:pt>
                <c:pt idx="17">
                  <c:v>0.49921459999999995</c:v>
                </c:pt>
                <c:pt idx="18">
                  <c:v>0.64173400000000025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81C-495E-BEA6-1C34D1254EAD}"/>
            </c:ext>
          </c:extLst>
        </c:ser>
        <c:ser>
          <c:idx val="6"/>
          <c:order val="6"/>
          <c:tx>
            <c:v>CX2024-13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'CX2024-13'!$B$17:$B$35</c:f>
              <c:numCache>
                <c:formatCode>0</c:formatCode>
                <c:ptCount val="19"/>
                <c:pt idx="0">
                  <c:v>0</c:v>
                </c:pt>
                <c:pt idx="1">
                  <c:v>8011</c:v>
                </c:pt>
                <c:pt idx="2">
                  <c:v>33934</c:v>
                </c:pt>
                <c:pt idx="3">
                  <c:v>58794</c:v>
                </c:pt>
                <c:pt idx="4">
                  <c:v>104166</c:v>
                </c:pt>
                <c:pt idx="5">
                  <c:v>159222</c:v>
                </c:pt>
                <c:pt idx="6">
                  <c:v>222769</c:v>
                </c:pt>
                <c:pt idx="7">
                  <c:v>266541</c:v>
                </c:pt>
                <c:pt idx="8">
                  <c:v>328340</c:v>
                </c:pt>
                <c:pt idx="9">
                  <c:v>369067</c:v>
                </c:pt>
                <c:pt idx="10">
                  <c:v>387963</c:v>
                </c:pt>
                <c:pt idx="11">
                  <c:v>399869</c:v>
                </c:pt>
                <c:pt idx="12">
                  <c:v>405964</c:v>
                </c:pt>
                <c:pt idx="13">
                  <c:v>409161</c:v>
                </c:pt>
                <c:pt idx="14">
                  <c:v>411501</c:v>
                </c:pt>
                <c:pt idx="15">
                  <c:v>413534</c:v>
                </c:pt>
                <c:pt idx="16">
                  <c:v>415181</c:v>
                </c:pt>
                <c:pt idx="17">
                  <c:v>417006</c:v>
                </c:pt>
                <c:pt idx="18">
                  <c:v>418426</c:v>
                </c:pt>
              </c:numCache>
            </c:numRef>
          </c:xVal>
          <c:yVal>
            <c:numRef>
              <c:f>'CX2024-13'!$C$17:$C$35</c:f>
              <c:numCache>
                <c:formatCode>0.0000</c:formatCode>
                <c:ptCount val="19"/>
                <c:pt idx="0">
                  <c:v>0.05</c:v>
                </c:pt>
                <c:pt idx="1">
                  <c:v>5.8658400000000298E-2</c:v>
                </c:pt>
                <c:pt idx="2">
                  <c:v>7.401270000000032E-2</c:v>
                </c:pt>
                <c:pt idx="3">
                  <c:v>8.8579599999999939E-2</c:v>
                </c:pt>
                <c:pt idx="4">
                  <c:v>0.10747720000000009</c:v>
                </c:pt>
                <c:pt idx="5">
                  <c:v>0.12558739999999985</c:v>
                </c:pt>
                <c:pt idx="6">
                  <c:v>0.144485</c:v>
                </c:pt>
                <c:pt idx="7">
                  <c:v>0.16180779999999992</c:v>
                </c:pt>
                <c:pt idx="8">
                  <c:v>0.18464239999999985</c:v>
                </c:pt>
                <c:pt idx="9">
                  <c:v>0.21495730000000027</c:v>
                </c:pt>
                <c:pt idx="10">
                  <c:v>0.24369739999999987</c:v>
                </c:pt>
                <c:pt idx="11">
                  <c:v>0.27361860000000005</c:v>
                </c:pt>
                <c:pt idx="12">
                  <c:v>0.31771300000000019</c:v>
                </c:pt>
                <c:pt idx="13">
                  <c:v>0.3633822000000001</c:v>
                </c:pt>
                <c:pt idx="14">
                  <c:v>0.39802779999999993</c:v>
                </c:pt>
                <c:pt idx="15">
                  <c:v>0.4401537000000002</c:v>
                </c:pt>
                <c:pt idx="16">
                  <c:v>0.48306700000000036</c:v>
                </c:pt>
                <c:pt idx="17">
                  <c:v>0.54645270000000035</c:v>
                </c:pt>
                <c:pt idx="18">
                  <c:v>0.65550760000000019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81C-495E-BEA6-1C34D1254EAD}"/>
            </c:ext>
          </c:extLst>
        </c:ser>
        <c:ser>
          <c:idx val="7"/>
          <c:order val="7"/>
          <c:tx>
            <c:v>CX2024-14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'CX2024-14'!$B$17:$B$35</c:f>
              <c:numCache>
                <c:formatCode>0</c:formatCode>
                <c:ptCount val="19"/>
                <c:pt idx="0">
                  <c:v>0</c:v>
                </c:pt>
                <c:pt idx="1">
                  <c:v>4471</c:v>
                </c:pt>
                <c:pt idx="2">
                  <c:v>27465</c:v>
                </c:pt>
                <c:pt idx="3">
                  <c:v>77298</c:v>
                </c:pt>
                <c:pt idx="4">
                  <c:v>146010</c:v>
                </c:pt>
                <c:pt idx="5">
                  <c:v>211788</c:v>
                </c:pt>
                <c:pt idx="6">
                  <c:v>273203</c:v>
                </c:pt>
                <c:pt idx="7">
                  <c:v>338878</c:v>
                </c:pt>
                <c:pt idx="8">
                  <c:v>380609</c:v>
                </c:pt>
                <c:pt idx="9">
                  <c:v>400826</c:v>
                </c:pt>
                <c:pt idx="10">
                  <c:v>432411</c:v>
                </c:pt>
                <c:pt idx="11">
                  <c:v>441392</c:v>
                </c:pt>
                <c:pt idx="12">
                  <c:v>448777</c:v>
                </c:pt>
                <c:pt idx="13">
                  <c:v>453878</c:v>
                </c:pt>
                <c:pt idx="14">
                  <c:v>457413</c:v>
                </c:pt>
                <c:pt idx="15">
                  <c:v>460024</c:v>
                </c:pt>
                <c:pt idx="16">
                  <c:v>462040</c:v>
                </c:pt>
                <c:pt idx="17">
                  <c:v>463164</c:v>
                </c:pt>
                <c:pt idx="18">
                  <c:v>464264</c:v>
                </c:pt>
              </c:numCache>
            </c:numRef>
          </c:xVal>
          <c:yVal>
            <c:numRef>
              <c:f>'CX2024-14'!$C$17:$C$35</c:f>
              <c:numCache>
                <c:formatCode>0.0000</c:formatCode>
                <c:ptCount val="19"/>
                <c:pt idx="0">
                  <c:v>0.05</c:v>
                </c:pt>
                <c:pt idx="1">
                  <c:v>5.314949999999978E-2</c:v>
                </c:pt>
                <c:pt idx="2">
                  <c:v>7.1653400000000297E-2</c:v>
                </c:pt>
                <c:pt idx="3">
                  <c:v>9.2519500000000338E-2</c:v>
                </c:pt>
                <c:pt idx="4">
                  <c:v>0.11299190000000019</c:v>
                </c:pt>
                <c:pt idx="5">
                  <c:v>0.13070840000000031</c:v>
                </c:pt>
                <c:pt idx="6">
                  <c:v>0.15354300000000023</c:v>
                </c:pt>
                <c:pt idx="7">
                  <c:v>0.17480279999999992</c:v>
                </c:pt>
                <c:pt idx="8">
                  <c:v>0.19881850000000045</c:v>
                </c:pt>
                <c:pt idx="9">
                  <c:v>0.21614129999999981</c:v>
                </c:pt>
                <c:pt idx="10">
                  <c:v>0.25236169999999986</c:v>
                </c:pt>
                <c:pt idx="11">
                  <c:v>0.28070809999999985</c:v>
                </c:pt>
                <c:pt idx="12">
                  <c:v>0.31338519999999975</c:v>
                </c:pt>
                <c:pt idx="13">
                  <c:v>0.36181029999999992</c:v>
                </c:pt>
                <c:pt idx="14">
                  <c:v>0.40905430000000004</c:v>
                </c:pt>
                <c:pt idx="15">
                  <c:v>0.45708569999999998</c:v>
                </c:pt>
                <c:pt idx="16">
                  <c:v>0.50984150000000017</c:v>
                </c:pt>
                <c:pt idx="17">
                  <c:v>0.55708549999999968</c:v>
                </c:pt>
                <c:pt idx="18">
                  <c:v>0.64803019999999978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81C-495E-BEA6-1C34D1254EAD}"/>
            </c:ext>
          </c:extLst>
        </c:ser>
        <c:ser>
          <c:idx val="8"/>
          <c:order val="8"/>
          <c:tx>
            <c:v>CX2024-15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'CX2024-15'!$B$17:$B$36</c:f>
              <c:numCache>
                <c:formatCode>0</c:formatCode>
                <c:ptCount val="20"/>
                <c:pt idx="0">
                  <c:v>0</c:v>
                </c:pt>
                <c:pt idx="1">
                  <c:v>5079</c:v>
                </c:pt>
                <c:pt idx="2">
                  <c:v>29092</c:v>
                </c:pt>
                <c:pt idx="3">
                  <c:v>63661</c:v>
                </c:pt>
                <c:pt idx="4">
                  <c:v>99019</c:v>
                </c:pt>
                <c:pt idx="5">
                  <c:v>160582</c:v>
                </c:pt>
                <c:pt idx="6">
                  <c:v>250336</c:v>
                </c:pt>
                <c:pt idx="7">
                  <c:v>330732</c:v>
                </c:pt>
                <c:pt idx="8">
                  <c:v>388885</c:v>
                </c:pt>
                <c:pt idx="9">
                  <c:v>428691</c:v>
                </c:pt>
                <c:pt idx="10">
                  <c:v>460694</c:v>
                </c:pt>
                <c:pt idx="11">
                  <c:v>476916</c:v>
                </c:pt>
                <c:pt idx="12">
                  <c:v>487316</c:v>
                </c:pt>
                <c:pt idx="13">
                  <c:v>494959</c:v>
                </c:pt>
                <c:pt idx="14">
                  <c:v>499484</c:v>
                </c:pt>
                <c:pt idx="15">
                  <c:v>503012</c:v>
                </c:pt>
                <c:pt idx="16">
                  <c:v>505245</c:v>
                </c:pt>
                <c:pt idx="17">
                  <c:v>506716</c:v>
                </c:pt>
                <c:pt idx="18">
                  <c:v>507938</c:v>
                </c:pt>
                <c:pt idx="19">
                  <c:v>508967</c:v>
                </c:pt>
              </c:numCache>
            </c:numRef>
          </c:xVal>
          <c:yVal>
            <c:numRef>
              <c:f>'CX2024-15'!$C$17:$C$36</c:f>
              <c:numCache>
                <c:formatCode>0.0000</c:formatCode>
                <c:ptCount val="20"/>
                <c:pt idx="0">
                  <c:v>0.05</c:v>
                </c:pt>
                <c:pt idx="1">
                  <c:v>5.6297700000000318E-2</c:v>
                </c:pt>
                <c:pt idx="2">
                  <c:v>7.3620500000000227E-2</c:v>
                </c:pt>
                <c:pt idx="3">
                  <c:v>8.8974799999999687E-2</c:v>
                </c:pt>
                <c:pt idx="4">
                  <c:v>0.10511650000000011</c:v>
                </c:pt>
                <c:pt idx="5">
                  <c:v>0.12322670000000044</c:v>
                </c:pt>
                <c:pt idx="6">
                  <c:v>0.14330540000000008</c:v>
                </c:pt>
                <c:pt idx="7">
                  <c:v>0.16338409999999973</c:v>
                </c:pt>
                <c:pt idx="8">
                  <c:v>0.18267540000000007</c:v>
                </c:pt>
                <c:pt idx="9">
                  <c:v>0.20393519999999976</c:v>
                </c:pt>
                <c:pt idx="10">
                  <c:v>0.22598240000000042</c:v>
                </c:pt>
                <c:pt idx="11">
                  <c:v>0.25157289999999949</c:v>
                </c:pt>
                <c:pt idx="12">
                  <c:v>0.27952559999999982</c:v>
                </c:pt>
                <c:pt idx="13">
                  <c:v>0.30944680000000002</c:v>
                </c:pt>
                <c:pt idx="14">
                  <c:v>0.34960420000000042</c:v>
                </c:pt>
                <c:pt idx="15">
                  <c:v>0.40275370000000021</c:v>
                </c:pt>
                <c:pt idx="16">
                  <c:v>0.45196620000000021</c:v>
                </c:pt>
                <c:pt idx="17">
                  <c:v>0.50196610000000008</c:v>
                </c:pt>
                <c:pt idx="18">
                  <c:v>0.55550930000000009</c:v>
                </c:pt>
                <c:pt idx="19">
                  <c:v>0.64920990000000045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81C-495E-BEA6-1C34D1254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366984"/>
        <c:axId val="975370264"/>
      </c:scatterChart>
      <c:valAx>
        <c:axId val="97536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70264"/>
        <c:crosses val="autoZero"/>
        <c:crossBetween val="midCat"/>
      </c:valAx>
      <c:valAx>
        <c:axId val="97537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Crack Length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6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905390236533073"/>
          <c:y val="4.7637663450969529E-2"/>
          <c:w val="0.10554142722142523"/>
          <c:h val="0.41454072495076838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CX2024-2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'CX2024-2'!$J$16:$J$23</c:f>
              <c:numCache>
                <c:formatCode>0.0000</c:formatCode>
                <c:ptCount val="8"/>
                <c:pt idx="0">
                  <c:v>0.16666666666666669</c:v>
                </c:pt>
                <c:pt idx="1">
                  <c:v>0.2427868175979089</c:v>
                </c:pt>
                <c:pt idx="2">
                  <c:v>0.31970937366853319</c:v>
                </c:pt>
                <c:pt idx="3">
                  <c:v>0.38461278035312146</c:v>
                </c:pt>
                <c:pt idx="4">
                  <c:v>0.43509320777446708</c:v>
                </c:pt>
                <c:pt idx="5">
                  <c:v>0.50961193396788307</c:v>
                </c:pt>
                <c:pt idx="6">
                  <c:v>0.65624555647751048</c:v>
                </c:pt>
                <c:pt idx="7">
                  <c:v>0.66345704610913525</c:v>
                </c:pt>
              </c:numCache>
            </c:numRef>
          </c:xVal>
          <c:yVal>
            <c:numRef>
              <c:f>'CX2024-2'!$I$16:$I$23</c:f>
              <c:numCache>
                <c:formatCode>0.0000</c:formatCode>
                <c:ptCount val="8"/>
                <c:pt idx="0">
                  <c:v>0.85</c:v>
                </c:pt>
                <c:pt idx="1">
                  <c:v>0.95299477539920763</c:v>
                </c:pt>
                <c:pt idx="2">
                  <c:v>1.13150412119038</c:v>
                </c:pt>
                <c:pt idx="3">
                  <c:v>1.0336274666840111</c:v>
                </c:pt>
                <c:pt idx="4">
                  <c:v>1.1362881726653771</c:v>
                </c:pt>
                <c:pt idx="5">
                  <c:v>1.2179503841439072</c:v>
                </c:pt>
                <c:pt idx="6">
                  <c:v>1.4707159226788988</c:v>
                </c:pt>
                <c:pt idx="7">
                  <c:v>1.3728713649455182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BE-40B3-B8EC-DD71E509E470}"/>
            </c:ext>
          </c:extLst>
        </c:ser>
        <c:ser>
          <c:idx val="1"/>
          <c:order val="1"/>
          <c:tx>
            <c:v>CX2024-4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'CX2024-4'!$J$16:$J$21</c:f>
              <c:numCache>
                <c:formatCode>0.00</c:formatCode>
                <c:ptCount val="6"/>
                <c:pt idx="0">
                  <c:v>0.19291338582677167</c:v>
                </c:pt>
                <c:pt idx="1">
                  <c:v>0.21276579849843935</c:v>
                </c:pt>
                <c:pt idx="2">
                  <c:v>0.24923993538388733</c:v>
                </c:pt>
                <c:pt idx="3">
                  <c:v>0.36170185744734473</c:v>
                </c:pt>
                <c:pt idx="4">
                  <c:v>0.42249208558975659</c:v>
                </c:pt>
                <c:pt idx="5">
                  <c:v>0.63829739549531794</c:v>
                </c:pt>
              </c:numCache>
            </c:numRef>
          </c:xVal>
          <c:yVal>
            <c:numRef>
              <c:f>'CX2024-4'!$I$16:$I$21</c:f>
              <c:numCache>
                <c:formatCode>0.00</c:formatCode>
                <c:ptCount val="6"/>
                <c:pt idx="0">
                  <c:v>0.98</c:v>
                </c:pt>
                <c:pt idx="1">
                  <c:v>0.98055871137285411</c:v>
                </c:pt>
                <c:pt idx="2">
                  <c:v>0.91891025405165194</c:v>
                </c:pt>
                <c:pt idx="3">
                  <c:v>1.0804028424890613</c:v>
                </c:pt>
                <c:pt idx="4">
                  <c:v>1.1035900874003197</c:v>
                </c:pt>
                <c:pt idx="5">
                  <c:v>1.4813662661822589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BE-40B3-B8EC-DD71E509E470}"/>
            </c:ext>
          </c:extLst>
        </c:ser>
        <c:ser>
          <c:idx val="2"/>
          <c:order val="2"/>
          <c:tx>
            <c:v>CX2024-5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'CX2024-5'!$J$17:$J$21</c:f>
              <c:numCache>
                <c:formatCode>0.0000</c:formatCode>
                <c:ptCount val="5"/>
                <c:pt idx="0">
                  <c:v>0.19373205148712019</c:v>
                </c:pt>
                <c:pt idx="1">
                  <c:v>0.23076906133024042</c:v>
                </c:pt>
                <c:pt idx="2">
                  <c:v>0.27635307344485949</c:v>
                </c:pt>
                <c:pt idx="3">
                  <c:v>0.59544115824717325</c:v>
                </c:pt>
                <c:pt idx="4">
                  <c:v>0.62108216506164571</c:v>
                </c:pt>
              </c:numCache>
            </c:numRef>
          </c:xVal>
          <c:yVal>
            <c:numRef>
              <c:f>'CX2024-5'!$I$17:$I$21</c:f>
              <c:numCache>
                <c:formatCode>0.0000</c:formatCode>
                <c:ptCount val="5"/>
                <c:pt idx="0">
                  <c:v>0.98412929767563806</c:v>
                </c:pt>
                <c:pt idx="1">
                  <c:v>0.9605120119079108</c:v>
                </c:pt>
                <c:pt idx="2">
                  <c:v>0.94332524744351387</c:v>
                </c:pt>
                <c:pt idx="3">
                  <c:v>1.8380292641150722</c:v>
                </c:pt>
                <c:pt idx="4">
                  <c:v>1.6978443684500053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BE-40B3-B8EC-DD71E509E470}"/>
            </c:ext>
          </c:extLst>
        </c:ser>
        <c:ser>
          <c:idx val="3"/>
          <c:order val="3"/>
          <c:tx>
            <c:v>CX2024-6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'CX2024-6'!$J$17:$J$22</c:f>
              <c:numCache>
                <c:formatCode>0.0000</c:formatCode>
                <c:ptCount val="6"/>
                <c:pt idx="0">
                  <c:v>0.19367588932806323</c:v>
                </c:pt>
                <c:pt idx="1">
                  <c:v>0.20238080214163376</c:v>
                </c:pt>
                <c:pt idx="2">
                  <c:v>0.24404743787668084</c:v>
                </c:pt>
                <c:pt idx="3">
                  <c:v>0.2499998144102572</c:v>
                </c:pt>
                <c:pt idx="4">
                  <c:v>0.47916631095299084</c:v>
                </c:pt>
                <c:pt idx="5">
                  <c:v>0.92261836270451947</c:v>
                </c:pt>
              </c:numCache>
            </c:numRef>
          </c:xVal>
          <c:yVal>
            <c:numRef>
              <c:f>'CX2024-6'!$I$17:$I$22</c:f>
              <c:numCache>
                <c:formatCode>0.0000</c:formatCode>
                <c:ptCount val="6"/>
                <c:pt idx="0">
                  <c:v>0.98</c:v>
                </c:pt>
                <c:pt idx="1">
                  <c:v>0.98520230245545393</c:v>
                </c:pt>
                <c:pt idx="2">
                  <c:v>1.0249821425419794</c:v>
                </c:pt>
                <c:pt idx="3">
                  <c:v>0.88268393396535572</c:v>
                </c:pt>
                <c:pt idx="4">
                  <c:v>1.445593686120342</c:v>
                </c:pt>
                <c:pt idx="5">
                  <c:v>2.4910723362202019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7BE-40B3-B8EC-DD71E509E470}"/>
            </c:ext>
          </c:extLst>
        </c:ser>
        <c:ser>
          <c:idx val="4"/>
          <c:order val="4"/>
          <c:tx>
            <c:v>CX2024-11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'CX2024-11'!$J$17:$J$21</c:f>
              <c:numCache>
                <c:formatCode>0.0000</c:formatCode>
                <c:ptCount val="5"/>
                <c:pt idx="0">
                  <c:v>0.20261811023622051</c:v>
                </c:pt>
                <c:pt idx="1">
                  <c:v>0.23446310511944232</c:v>
                </c:pt>
                <c:pt idx="2">
                  <c:v>0.2937850955713518</c:v>
                </c:pt>
                <c:pt idx="3">
                  <c:v>0.41525393316335019</c:v>
                </c:pt>
                <c:pt idx="4">
                  <c:v>0.47175106692706814</c:v>
                </c:pt>
              </c:numCache>
            </c:numRef>
          </c:xVal>
          <c:yVal>
            <c:numRef>
              <c:f>'CX2024-11'!$I$17:$I$21</c:f>
              <c:numCache>
                <c:formatCode>0.0000</c:formatCode>
                <c:ptCount val="5"/>
                <c:pt idx="0">
                  <c:v>1.0293000000000001</c:v>
                </c:pt>
                <c:pt idx="1">
                  <c:v>1.0290239417135945</c:v>
                </c:pt>
                <c:pt idx="2">
                  <c:v>1.0245338991154409</c:v>
                </c:pt>
                <c:pt idx="3">
                  <c:v>1.0890478184194892</c:v>
                </c:pt>
                <c:pt idx="4">
                  <c:v>1.0145184234990712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7BE-40B3-B8EC-DD71E509E470}"/>
            </c:ext>
          </c:extLst>
        </c:ser>
        <c:ser>
          <c:idx val="5"/>
          <c:order val="5"/>
          <c:tx>
            <c:v>CX2024-12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'CX2024-12'!$J$17:$J$24</c:f>
              <c:numCache>
                <c:formatCode>0.0000</c:formatCode>
                <c:ptCount val="8"/>
                <c:pt idx="0">
                  <c:v>0.19488188976377954</c:v>
                </c:pt>
                <c:pt idx="1">
                  <c:v>0.20936623904601806</c:v>
                </c:pt>
                <c:pt idx="2">
                  <c:v>0.30578490176458251</c:v>
                </c:pt>
                <c:pt idx="3">
                  <c:v>0.40220356448314304</c:v>
                </c:pt>
                <c:pt idx="4">
                  <c:v>0.41873247809204001</c:v>
                </c:pt>
                <c:pt idx="5">
                  <c:v>0.44077102957056802</c:v>
                </c:pt>
                <c:pt idx="6">
                  <c:v>0.48760295146244154</c:v>
                </c:pt>
                <c:pt idx="7">
                  <c:v>0.48760295146244542</c:v>
                </c:pt>
              </c:numCache>
            </c:numRef>
          </c:xVal>
          <c:yVal>
            <c:numRef>
              <c:f>'CX2024-12'!$I$17:$I$24</c:f>
              <c:numCache>
                <c:formatCode>0.0000</c:formatCode>
                <c:ptCount val="8"/>
                <c:pt idx="0">
                  <c:v>0.99</c:v>
                </c:pt>
                <c:pt idx="1">
                  <c:v>0.99314283212792664</c:v>
                </c:pt>
                <c:pt idx="2">
                  <c:v>1.1402999576910191</c:v>
                </c:pt>
                <c:pt idx="3">
                  <c:v>1.2182013517437558</c:v>
                </c:pt>
                <c:pt idx="4">
                  <c:v>1.0635507149337644</c:v>
                </c:pt>
                <c:pt idx="5">
                  <c:v>0.97383899146096919</c:v>
                </c:pt>
                <c:pt idx="6">
                  <c:v>0.95615581583197318</c:v>
                </c:pt>
                <c:pt idx="7">
                  <c:v>0.83001642372773576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7BE-40B3-B8EC-DD71E509E470}"/>
            </c:ext>
          </c:extLst>
        </c:ser>
        <c:ser>
          <c:idx val="6"/>
          <c:order val="6"/>
          <c:tx>
            <c:v>CX2024-13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'CX2024-13'!$J$17:$J$22</c:f>
              <c:numCache>
                <c:formatCode>0.0000</c:formatCode>
                <c:ptCount val="6"/>
                <c:pt idx="0">
                  <c:v>0.18627450980392157</c:v>
                </c:pt>
                <c:pt idx="1">
                  <c:v>0.22437656776239481</c:v>
                </c:pt>
                <c:pt idx="2">
                  <c:v>0.27977818943212257</c:v>
                </c:pt>
                <c:pt idx="3">
                  <c:v>0.37119086518717159</c:v>
                </c:pt>
                <c:pt idx="4">
                  <c:v>0.47922402744313936</c:v>
                </c:pt>
                <c:pt idx="5">
                  <c:v>0.65373913570277797</c:v>
                </c:pt>
              </c:numCache>
            </c:numRef>
          </c:xVal>
          <c:yVal>
            <c:numRef>
              <c:f>'CX2024-13'!$I$17:$I$22</c:f>
              <c:numCache>
                <c:formatCode>0.0000</c:formatCode>
                <c:ptCount val="6"/>
                <c:pt idx="0">
                  <c:v>0.95</c:v>
                </c:pt>
                <c:pt idx="1">
                  <c:v>0.97541059386908591</c:v>
                </c:pt>
                <c:pt idx="2">
                  <c:v>0.96393508553519802</c:v>
                </c:pt>
                <c:pt idx="3">
                  <c:v>1.0685718903983403</c:v>
                </c:pt>
                <c:pt idx="4">
                  <c:v>1.1370051229284019</c:v>
                </c:pt>
                <c:pt idx="5">
                  <c:v>1.3273901649704396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7BE-40B3-B8EC-DD71E509E470}"/>
            </c:ext>
          </c:extLst>
        </c:ser>
        <c:ser>
          <c:idx val="7"/>
          <c:order val="7"/>
          <c:tx>
            <c:v>CX2024-14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'CX2024-14'!$J$17:$J$21</c:f>
              <c:numCache>
                <c:formatCode>0.0000</c:formatCode>
                <c:ptCount val="5"/>
                <c:pt idx="0">
                  <c:v>0.17647058823529413</c:v>
                </c:pt>
                <c:pt idx="1">
                  <c:v>0.19112613347900773</c:v>
                </c:pt>
                <c:pt idx="2">
                  <c:v>0.32764480024972648</c:v>
                </c:pt>
                <c:pt idx="3">
                  <c:v>0.43685973366630193</c:v>
                </c:pt>
                <c:pt idx="4">
                  <c:v>0.90784913402528422</c:v>
                </c:pt>
              </c:numCache>
            </c:numRef>
          </c:xVal>
          <c:yVal>
            <c:numRef>
              <c:f>'CX2024-14'!$I$17:$I$21</c:f>
              <c:numCache>
                <c:formatCode>0.0000</c:formatCode>
                <c:ptCount val="5"/>
                <c:pt idx="0">
                  <c:v>0.9</c:v>
                </c:pt>
                <c:pt idx="1">
                  <c:v>0.91698254992327632</c:v>
                </c:pt>
                <c:pt idx="2">
                  <c:v>1.166021766778407</c:v>
                </c:pt>
                <c:pt idx="3">
                  <c:v>1.204062193212313</c:v>
                </c:pt>
                <c:pt idx="4">
                  <c:v>2.0488329621543411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7BE-40B3-B8EC-DD71E509E470}"/>
            </c:ext>
          </c:extLst>
        </c:ser>
        <c:ser>
          <c:idx val="8"/>
          <c:order val="8"/>
          <c:tx>
            <c:v>CX2024-15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'CX2024-15'!$J$17:$J$21</c:f>
              <c:numCache>
                <c:formatCode>0.0000</c:formatCode>
                <c:ptCount val="5"/>
                <c:pt idx="0">
                  <c:v>0.19169960474308301</c:v>
                </c:pt>
                <c:pt idx="1">
                  <c:v>0.21345013469115931</c:v>
                </c:pt>
                <c:pt idx="2">
                  <c:v>0.32456116370847321</c:v>
                </c:pt>
                <c:pt idx="3">
                  <c:v>0.3654968059780106</c:v>
                </c:pt>
                <c:pt idx="4">
                  <c:v>0.54678322174310512</c:v>
                </c:pt>
              </c:numCache>
            </c:numRef>
          </c:xVal>
          <c:yVal>
            <c:numRef>
              <c:f>'CX2024-15'!$I$17:$I$21</c:f>
              <c:numCache>
                <c:formatCode>0.0000</c:formatCode>
                <c:ptCount val="5"/>
                <c:pt idx="0">
                  <c:v>0.97</c:v>
                </c:pt>
                <c:pt idx="1">
                  <c:v>0.95923783879027036</c:v>
                </c:pt>
                <c:pt idx="2">
                  <c:v>1.1153683337962044</c:v>
                </c:pt>
                <c:pt idx="3">
                  <c:v>1.0392908094475852</c:v>
                </c:pt>
                <c:pt idx="4">
                  <c:v>1.3160270281164752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7BE-40B3-B8EC-DD71E509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366984"/>
        <c:axId val="975370264"/>
      </c:scatterChart>
      <c:valAx>
        <c:axId val="97536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70264"/>
        <c:crosses val="autoZero"/>
        <c:crossBetween val="midCat"/>
      </c:valAx>
      <c:valAx>
        <c:axId val="975370264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6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905390236533073"/>
          <c:y val="4.7637663450969529E-2"/>
          <c:w val="0.10560826545685841"/>
          <c:h val="0.3734903161740062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OFF-NCX2024-1 Surface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'OFF-NCX2024-1'!$B$15:$B$39</c:f>
              <c:numCache>
                <c:formatCode>General</c:formatCode>
                <c:ptCount val="25"/>
                <c:pt idx="0">
                  <c:v>0</c:v>
                </c:pt>
                <c:pt idx="1">
                  <c:v>2007</c:v>
                </c:pt>
                <c:pt idx="2">
                  <c:v>4348</c:v>
                </c:pt>
                <c:pt idx="3">
                  <c:v>6891</c:v>
                </c:pt>
                <c:pt idx="4">
                  <c:v>8932</c:v>
                </c:pt>
                <c:pt idx="5">
                  <c:v>11976</c:v>
                </c:pt>
                <c:pt idx="6">
                  <c:v>19361</c:v>
                </c:pt>
                <c:pt idx="7">
                  <c:v>21375</c:v>
                </c:pt>
                <c:pt idx="8">
                  <c:v>23647</c:v>
                </c:pt>
                <c:pt idx="9">
                  <c:v>26116</c:v>
                </c:pt>
                <c:pt idx="10">
                  <c:v>28140</c:v>
                </c:pt>
                <c:pt idx="11">
                  <c:v>30115</c:v>
                </c:pt>
                <c:pt idx="12">
                  <c:v>32119</c:v>
                </c:pt>
                <c:pt idx="13">
                  <c:v>34161</c:v>
                </c:pt>
                <c:pt idx="14">
                  <c:v>36309</c:v>
                </c:pt>
                <c:pt idx="15">
                  <c:v>38503</c:v>
                </c:pt>
                <c:pt idx="16">
                  <c:v>40580</c:v>
                </c:pt>
                <c:pt idx="17">
                  <c:v>42600</c:v>
                </c:pt>
                <c:pt idx="18">
                  <c:v>43604</c:v>
                </c:pt>
                <c:pt idx="19">
                  <c:v>44623</c:v>
                </c:pt>
                <c:pt idx="20">
                  <c:v>45131</c:v>
                </c:pt>
                <c:pt idx="21">
                  <c:v>45439</c:v>
                </c:pt>
                <c:pt idx="22">
                  <c:v>45750</c:v>
                </c:pt>
                <c:pt idx="23">
                  <c:v>45918</c:v>
                </c:pt>
                <c:pt idx="24">
                  <c:v>45998</c:v>
                </c:pt>
              </c:numCache>
            </c:numRef>
          </c:xVal>
          <c:yVal>
            <c:numRef>
              <c:f>'OFF-NCX2024-1'!$C$15:$C$39</c:f>
              <c:numCache>
                <c:formatCode>General</c:formatCode>
                <c:ptCount val="25"/>
                <c:pt idx="0">
                  <c:v>5.0799999999999998E-2</c:v>
                </c:pt>
                <c:pt idx="1">
                  <c:v>5.79E-2</c:v>
                </c:pt>
                <c:pt idx="2">
                  <c:v>6.4640000000000003E-2</c:v>
                </c:pt>
                <c:pt idx="3">
                  <c:v>7.0059999999999997E-2</c:v>
                </c:pt>
                <c:pt idx="4">
                  <c:v>7.7380000000000004E-2</c:v>
                </c:pt>
                <c:pt idx="5">
                  <c:v>8.6260000000000003E-2</c:v>
                </c:pt>
                <c:pt idx="6">
                  <c:v>0.10652</c:v>
                </c:pt>
                <c:pt idx="7">
                  <c:v>0.10914</c:v>
                </c:pt>
                <c:pt idx="8">
                  <c:v>0.11742</c:v>
                </c:pt>
                <c:pt idx="9">
                  <c:v>0.12556</c:v>
                </c:pt>
                <c:pt idx="10">
                  <c:v>0.14196</c:v>
                </c:pt>
                <c:pt idx="11">
                  <c:v>0.14888000000000001</c:v>
                </c:pt>
                <c:pt idx="12">
                  <c:v>0.15276000000000001</c:v>
                </c:pt>
                <c:pt idx="13">
                  <c:v>0.18312</c:v>
                </c:pt>
                <c:pt idx="14">
                  <c:v>0.19439999999999999</c:v>
                </c:pt>
                <c:pt idx="15">
                  <c:v>0.21215999999999999</c:v>
                </c:pt>
                <c:pt idx="16">
                  <c:v>0.22650000000000001</c:v>
                </c:pt>
                <c:pt idx="17">
                  <c:v>0.25074000000000002</c:v>
                </c:pt>
                <c:pt idx="18">
                  <c:v>0.26845999999999998</c:v>
                </c:pt>
                <c:pt idx="19">
                  <c:v>0.28714000000000001</c:v>
                </c:pt>
                <c:pt idx="20">
                  <c:v>0.30642000000000003</c:v>
                </c:pt>
                <c:pt idx="21">
                  <c:v>0.31590000000000001</c:v>
                </c:pt>
                <c:pt idx="22">
                  <c:v>0.33329999999999999</c:v>
                </c:pt>
                <c:pt idx="23">
                  <c:v>0.35</c:v>
                </c:pt>
                <c:pt idx="24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88-4D72-B1E2-1C3EFFB0ABDA}"/>
            </c:ext>
          </c:extLst>
        </c:ser>
        <c:ser>
          <c:idx val="1"/>
          <c:order val="1"/>
          <c:tx>
            <c:v>OFF-NCX2024-2 Surface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'OFF-NCX2024-2'!$B$18:$B$38</c:f>
              <c:numCache>
                <c:formatCode>General</c:formatCode>
                <c:ptCount val="21"/>
                <c:pt idx="0">
                  <c:v>0</c:v>
                </c:pt>
                <c:pt idx="1">
                  <c:v>1661</c:v>
                </c:pt>
                <c:pt idx="2">
                  <c:v>3745</c:v>
                </c:pt>
                <c:pt idx="3">
                  <c:v>5810</c:v>
                </c:pt>
                <c:pt idx="4">
                  <c:v>7883</c:v>
                </c:pt>
                <c:pt idx="5">
                  <c:v>11213</c:v>
                </c:pt>
                <c:pt idx="6">
                  <c:v>13991</c:v>
                </c:pt>
                <c:pt idx="7">
                  <c:v>15997</c:v>
                </c:pt>
                <c:pt idx="8">
                  <c:v>18129</c:v>
                </c:pt>
                <c:pt idx="9">
                  <c:v>20122</c:v>
                </c:pt>
                <c:pt idx="10">
                  <c:v>22144</c:v>
                </c:pt>
                <c:pt idx="11">
                  <c:v>24178</c:v>
                </c:pt>
                <c:pt idx="12">
                  <c:v>26186</c:v>
                </c:pt>
                <c:pt idx="13">
                  <c:v>28195</c:v>
                </c:pt>
                <c:pt idx="14">
                  <c:v>31212</c:v>
                </c:pt>
                <c:pt idx="15">
                  <c:v>34409</c:v>
                </c:pt>
                <c:pt idx="16">
                  <c:v>37823</c:v>
                </c:pt>
                <c:pt idx="17">
                  <c:v>40327</c:v>
                </c:pt>
                <c:pt idx="18">
                  <c:v>42889</c:v>
                </c:pt>
                <c:pt idx="19">
                  <c:v>45038</c:v>
                </c:pt>
                <c:pt idx="20">
                  <c:v>47026</c:v>
                </c:pt>
              </c:numCache>
            </c:numRef>
          </c:xVal>
          <c:yVal>
            <c:numRef>
              <c:f>'OFF-NCX2024-2'!$C$18:$C$38</c:f>
              <c:numCache>
                <c:formatCode>General</c:formatCode>
                <c:ptCount val="21"/>
                <c:pt idx="0">
                  <c:v>0.05</c:v>
                </c:pt>
                <c:pt idx="1">
                  <c:v>5.3839999999999999E-2</c:v>
                </c:pt>
                <c:pt idx="2">
                  <c:v>6.0420000000000001E-2</c:v>
                </c:pt>
                <c:pt idx="3">
                  <c:v>6.4320000000000002E-2</c:v>
                </c:pt>
                <c:pt idx="4">
                  <c:v>6.8599999999999994E-2</c:v>
                </c:pt>
                <c:pt idx="5">
                  <c:v>7.2700000000000001E-2</c:v>
                </c:pt>
                <c:pt idx="6">
                  <c:v>8.1140000000000004E-2</c:v>
                </c:pt>
                <c:pt idx="7">
                  <c:v>9.0399999999999994E-2</c:v>
                </c:pt>
                <c:pt idx="8">
                  <c:v>9.7000000000000003E-2</c:v>
                </c:pt>
                <c:pt idx="9">
                  <c:v>0.10152</c:v>
                </c:pt>
                <c:pt idx="10">
                  <c:v>0.10664</c:v>
                </c:pt>
                <c:pt idx="11">
                  <c:v>0.11712</c:v>
                </c:pt>
                <c:pt idx="12">
                  <c:v>0.1303</c:v>
                </c:pt>
                <c:pt idx="13">
                  <c:v>0.14444000000000001</c:v>
                </c:pt>
                <c:pt idx="14">
                  <c:v>0.15937999999999999</c:v>
                </c:pt>
                <c:pt idx="15">
                  <c:v>0.17638000000000001</c:v>
                </c:pt>
                <c:pt idx="16">
                  <c:v>0.20188</c:v>
                </c:pt>
                <c:pt idx="17">
                  <c:v>0.22797999999999999</c:v>
                </c:pt>
                <c:pt idx="18">
                  <c:v>0.26516000000000001</c:v>
                </c:pt>
                <c:pt idx="19">
                  <c:v>0.29871999999999999</c:v>
                </c:pt>
                <c:pt idx="20">
                  <c:v>0.35639999999999999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88-4D72-B1E2-1C3EFFB0ABDA}"/>
            </c:ext>
          </c:extLst>
        </c:ser>
        <c:ser>
          <c:idx val="2"/>
          <c:order val="2"/>
          <c:tx>
            <c:v>OFF-NCX2024-3 Surface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'OFF-NCX2024-3'!$B$19:$B$42</c:f>
              <c:numCache>
                <c:formatCode>General</c:formatCode>
                <c:ptCount val="24"/>
                <c:pt idx="0">
                  <c:v>0</c:v>
                </c:pt>
                <c:pt idx="1">
                  <c:v>3288</c:v>
                </c:pt>
                <c:pt idx="2">
                  <c:v>7453</c:v>
                </c:pt>
                <c:pt idx="3">
                  <c:v>10450</c:v>
                </c:pt>
                <c:pt idx="4">
                  <c:v>14327</c:v>
                </c:pt>
                <c:pt idx="5">
                  <c:v>18253</c:v>
                </c:pt>
                <c:pt idx="6">
                  <c:v>21709</c:v>
                </c:pt>
                <c:pt idx="7">
                  <c:v>24795</c:v>
                </c:pt>
                <c:pt idx="8">
                  <c:v>28176</c:v>
                </c:pt>
                <c:pt idx="9">
                  <c:v>31923</c:v>
                </c:pt>
                <c:pt idx="10">
                  <c:v>34885</c:v>
                </c:pt>
                <c:pt idx="11">
                  <c:v>38163</c:v>
                </c:pt>
                <c:pt idx="12">
                  <c:v>40870</c:v>
                </c:pt>
                <c:pt idx="13">
                  <c:v>43125</c:v>
                </c:pt>
                <c:pt idx="14">
                  <c:v>45084</c:v>
                </c:pt>
                <c:pt idx="15">
                  <c:v>46495</c:v>
                </c:pt>
                <c:pt idx="16">
                  <c:v>47915</c:v>
                </c:pt>
                <c:pt idx="17">
                  <c:v>48384</c:v>
                </c:pt>
                <c:pt idx="18">
                  <c:v>49042</c:v>
                </c:pt>
                <c:pt idx="19">
                  <c:v>49760</c:v>
                </c:pt>
                <c:pt idx="20">
                  <c:v>50147</c:v>
                </c:pt>
                <c:pt idx="21">
                  <c:v>50660</c:v>
                </c:pt>
                <c:pt idx="22">
                  <c:v>51146</c:v>
                </c:pt>
                <c:pt idx="23">
                  <c:v>51235</c:v>
                </c:pt>
              </c:numCache>
            </c:numRef>
          </c:xVal>
          <c:yVal>
            <c:numRef>
              <c:f>'OFF-NCX2024-3'!$C$19:$C$42</c:f>
              <c:numCache>
                <c:formatCode>General</c:formatCode>
                <c:ptCount val="24"/>
                <c:pt idx="0">
                  <c:v>5.0700000000000002E-2</c:v>
                </c:pt>
                <c:pt idx="1">
                  <c:v>5.3699999999999998E-2</c:v>
                </c:pt>
                <c:pt idx="2">
                  <c:v>6.3280000000000003E-2</c:v>
                </c:pt>
                <c:pt idx="3">
                  <c:v>6.5619999999999998E-2</c:v>
                </c:pt>
                <c:pt idx="4">
                  <c:v>7.5999999999999998E-2</c:v>
                </c:pt>
                <c:pt idx="5">
                  <c:v>8.6720000000000005E-2</c:v>
                </c:pt>
                <c:pt idx="6">
                  <c:v>0.10267999999999999</c:v>
                </c:pt>
                <c:pt idx="7">
                  <c:v>0.10992</c:v>
                </c:pt>
                <c:pt idx="8">
                  <c:v>0.1205</c:v>
                </c:pt>
                <c:pt idx="9">
                  <c:v>0.13400000000000001</c:v>
                </c:pt>
                <c:pt idx="10">
                  <c:v>0.14799999999999999</c:v>
                </c:pt>
                <c:pt idx="11">
                  <c:v>0.16158</c:v>
                </c:pt>
                <c:pt idx="12">
                  <c:v>0.17358000000000001</c:v>
                </c:pt>
                <c:pt idx="13">
                  <c:v>0.19109999999999999</c:v>
                </c:pt>
                <c:pt idx="14">
                  <c:v>0.20612</c:v>
                </c:pt>
                <c:pt idx="15">
                  <c:v>0.22344</c:v>
                </c:pt>
                <c:pt idx="16">
                  <c:v>0.2432</c:v>
                </c:pt>
                <c:pt idx="17">
                  <c:v>0.25287999999999999</c:v>
                </c:pt>
                <c:pt idx="18">
                  <c:v>0.2631</c:v>
                </c:pt>
                <c:pt idx="19">
                  <c:v>0.27879999999999999</c:v>
                </c:pt>
                <c:pt idx="20">
                  <c:v>0.29011999999999999</c:v>
                </c:pt>
                <c:pt idx="21">
                  <c:v>0.30880000000000002</c:v>
                </c:pt>
                <c:pt idx="22">
                  <c:v>0.35</c:v>
                </c:pt>
                <c:pt idx="23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88-4D72-B1E2-1C3EFFB0ABDA}"/>
            </c:ext>
          </c:extLst>
        </c:ser>
        <c:ser>
          <c:idx val="3"/>
          <c:order val="3"/>
          <c:tx>
            <c:v>OFF-NCX2024-4 Surface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'OFF-NCX2024-4'!$B$18:$B$35</c:f>
              <c:numCache>
                <c:formatCode>General</c:formatCode>
                <c:ptCount val="18"/>
                <c:pt idx="0">
                  <c:v>0</c:v>
                </c:pt>
                <c:pt idx="1">
                  <c:v>2603</c:v>
                </c:pt>
                <c:pt idx="2">
                  <c:v>6266</c:v>
                </c:pt>
                <c:pt idx="3">
                  <c:v>10141</c:v>
                </c:pt>
                <c:pt idx="4">
                  <c:v>13522</c:v>
                </c:pt>
                <c:pt idx="5">
                  <c:v>17377</c:v>
                </c:pt>
                <c:pt idx="6">
                  <c:v>20778</c:v>
                </c:pt>
                <c:pt idx="7">
                  <c:v>24830</c:v>
                </c:pt>
                <c:pt idx="8">
                  <c:v>28442</c:v>
                </c:pt>
                <c:pt idx="9">
                  <c:v>31995</c:v>
                </c:pt>
                <c:pt idx="10">
                  <c:v>35051</c:v>
                </c:pt>
                <c:pt idx="11">
                  <c:v>37830</c:v>
                </c:pt>
                <c:pt idx="12">
                  <c:v>39641</c:v>
                </c:pt>
                <c:pt idx="13">
                  <c:v>41394</c:v>
                </c:pt>
                <c:pt idx="14">
                  <c:v>43504</c:v>
                </c:pt>
                <c:pt idx="15">
                  <c:v>45138</c:v>
                </c:pt>
                <c:pt idx="16">
                  <c:v>45431</c:v>
                </c:pt>
                <c:pt idx="17">
                  <c:v>45531</c:v>
                </c:pt>
              </c:numCache>
            </c:numRef>
          </c:xVal>
          <c:yVal>
            <c:numRef>
              <c:f>'OFF-NCX2024-4'!$C$18:$C$35</c:f>
              <c:numCache>
                <c:formatCode>General</c:formatCode>
                <c:ptCount val="18"/>
                <c:pt idx="0">
                  <c:v>0.05</c:v>
                </c:pt>
                <c:pt idx="1">
                  <c:v>5.6180000000000001E-2</c:v>
                </c:pt>
                <c:pt idx="2">
                  <c:v>6.3619999999999996E-2</c:v>
                </c:pt>
                <c:pt idx="3">
                  <c:v>7.442E-2</c:v>
                </c:pt>
                <c:pt idx="4">
                  <c:v>8.4040000000000004E-2</c:v>
                </c:pt>
                <c:pt idx="5">
                  <c:v>8.9380000000000001E-2</c:v>
                </c:pt>
                <c:pt idx="6">
                  <c:v>0.10796</c:v>
                </c:pt>
                <c:pt idx="7">
                  <c:v>0.11781999999999999</c:v>
                </c:pt>
                <c:pt idx="8">
                  <c:v>0.14191999999999999</c:v>
                </c:pt>
                <c:pt idx="9">
                  <c:v>0.16144</c:v>
                </c:pt>
                <c:pt idx="10">
                  <c:v>0.18423999999999999</c:v>
                </c:pt>
                <c:pt idx="11">
                  <c:v>0.2084</c:v>
                </c:pt>
                <c:pt idx="12">
                  <c:v>0.22766</c:v>
                </c:pt>
                <c:pt idx="13">
                  <c:v>0.24901999999999999</c:v>
                </c:pt>
                <c:pt idx="14">
                  <c:v>0.26898</c:v>
                </c:pt>
                <c:pt idx="15">
                  <c:v>0.32950000000000002</c:v>
                </c:pt>
                <c:pt idx="16">
                  <c:v>0.35</c:v>
                </c:pt>
                <c:pt idx="17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288-4D72-B1E2-1C3EFFB0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366984"/>
        <c:axId val="975370264"/>
      </c:scatterChart>
      <c:valAx>
        <c:axId val="97536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70264"/>
        <c:crosses val="autoZero"/>
        <c:crossBetween val="midCat"/>
      </c:valAx>
      <c:valAx>
        <c:axId val="97537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Crack Length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6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340173071290376"/>
          <c:y val="4.9661651373339555E-2"/>
          <c:w val="0.19877351508957733"/>
          <c:h val="0.24899354411600416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OFF-NCX2024-1 Surface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'OFF-NCX2024-1'!$J$15:$J$31</c:f>
              <c:numCache>
                <c:formatCode>0.00</c:formatCode>
                <c:ptCount val="17"/>
                <c:pt idx="0">
                  <c:v>0.28224414303329226</c:v>
                </c:pt>
                <c:pt idx="1">
                  <c:v>0.29099876695437732</c:v>
                </c:pt>
                <c:pt idx="2">
                  <c:v>0.3087546239210851</c:v>
                </c:pt>
                <c:pt idx="3">
                  <c:v>0.31393341553637483</c:v>
                </c:pt>
                <c:pt idx="4">
                  <c:v>0.33353884093711467</c:v>
                </c:pt>
                <c:pt idx="5">
                  <c:v>0.37102342786683107</c:v>
                </c:pt>
                <c:pt idx="6">
                  <c:v>0.47472256473489516</c:v>
                </c:pt>
                <c:pt idx="7">
                  <c:v>0.49346485819975344</c:v>
                </c:pt>
                <c:pt idx="8">
                  <c:v>0.53427866831072746</c:v>
                </c:pt>
                <c:pt idx="9">
                  <c:v>0.57447595561035758</c:v>
                </c:pt>
                <c:pt idx="10">
                  <c:v>0.59149198520345259</c:v>
                </c:pt>
                <c:pt idx="11">
                  <c:v>0.63107274969173865</c:v>
                </c:pt>
                <c:pt idx="12">
                  <c:v>0.68532675709001234</c:v>
                </c:pt>
                <c:pt idx="13">
                  <c:v>0.74364981504315664</c:v>
                </c:pt>
                <c:pt idx="14">
                  <c:v>0.79161528976572126</c:v>
                </c:pt>
                <c:pt idx="15">
                  <c:v>0.86041923551171384</c:v>
                </c:pt>
              </c:numCache>
            </c:numRef>
          </c:xVal>
          <c:yVal>
            <c:numRef>
              <c:f>'OFF-NCX2024-1'!$I$15:$I$31</c:f>
              <c:numCache>
                <c:formatCode>0.00</c:formatCode>
                <c:ptCount val="17"/>
                <c:pt idx="0">
                  <c:v>1.4084427216326689</c:v>
                </c:pt>
                <c:pt idx="1">
                  <c:v>1.2740619589453306</c:v>
                </c:pt>
                <c:pt idx="2">
                  <c:v>1.210849275433092</c:v>
                </c:pt>
                <c:pt idx="3">
                  <c:v>1.135913800149458</c:v>
                </c:pt>
                <c:pt idx="4">
                  <c:v>1.0926866913615736</c:v>
                </c:pt>
                <c:pt idx="5">
                  <c:v>1.0903598303297204</c:v>
                </c:pt>
                <c:pt idx="6">
                  <c:v>1.1297612669948922</c:v>
                </c:pt>
                <c:pt idx="7">
                  <c:v>1.1461731863078386</c:v>
                </c:pt>
                <c:pt idx="8">
                  <c:v>1.1534631444112537</c:v>
                </c:pt>
                <c:pt idx="9">
                  <c:v>1.1598411496274741</c:v>
                </c:pt>
                <c:pt idx="10">
                  <c:v>1.0562356878633081</c:v>
                </c:pt>
                <c:pt idx="11">
                  <c:v>1.0745361502341197</c:v>
                </c:pt>
                <c:pt idx="12">
                  <c:v>1.1372763349196002</c:v>
                </c:pt>
                <c:pt idx="13">
                  <c:v>1.0294628009689832</c:v>
                </c:pt>
                <c:pt idx="14">
                  <c:v>1.0322761108827692</c:v>
                </c:pt>
                <c:pt idx="15">
                  <c:v>1.0280744541959816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C9-492E-98D3-0B152F1EEFEE}"/>
            </c:ext>
          </c:extLst>
        </c:ser>
        <c:ser>
          <c:idx val="1"/>
          <c:order val="1"/>
          <c:tx>
            <c:v>OFF-NCX2024-2 Surface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'OFF-NCX2024-2'!$J$18:$J$36</c:f>
              <c:numCache>
                <c:formatCode>0.00</c:formatCode>
                <c:ptCount val="19"/>
                <c:pt idx="0">
                  <c:v>0.33921568627450982</c:v>
                </c:pt>
                <c:pt idx="1">
                  <c:v>0.34831733689709637</c:v>
                </c:pt>
                <c:pt idx="2">
                  <c:v>0.36423277852022845</c:v>
                </c:pt>
                <c:pt idx="3">
                  <c:v>0.38561535657878748</c:v>
                </c:pt>
                <c:pt idx="4">
                  <c:v>0.41671728830032806</c:v>
                </c:pt>
                <c:pt idx="5">
                  <c:v>0.4394362774875471</c:v>
                </c:pt>
                <c:pt idx="6">
                  <c:v>0.45644514639776457</c:v>
                </c:pt>
                <c:pt idx="7">
                  <c:v>0.47709877293160008</c:v>
                </c:pt>
                <c:pt idx="8">
                  <c:v>0.49350018223788128</c:v>
                </c:pt>
                <c:pt idx="9">
                  <c:v>0.52630300085044346</c:v>
                </c:pt>
                <c:pt idx="10">
                  <c:v>0.5283683635038271</c:v>
                </c:pt>
                <c:pt idx="11">
                  <c:v>0.55704045680962222</c:v>
                </c:pt>
                <c:pt idx="12">
                  <c:v>0.57975944599684126</c:v>
                </c:pt>
                <c:pt idx="13">
                  <c:v>0.60952496658972177</c:v>
                </c:pt>
                <c:pt idx="14">
                  <c:v>0.64730895395456212</c:v>
                </c:pt>
                <c:pt idx="15">
                  <c:v>0.76066091604908281</c:v>
                </c:pt>
                <c:pt idx="16">
                  <c:v>0.84084558376867946</c:v>
                </c:pt>
                <c:pt idx="17">
                  <c:v>0.87948001457903058</c:v>
                </c:pt>
                <c:pt idx="18">
                  <c:v>0.87948001457903058</c:v>
                </c:pt>
              </c:numCache>
            </c:numRef>
          </c:xVal>
          <c:yVal>
            <c:numRef>
              <c:f>'OFF-NCX2024-2'!$I$18:$I$36</c:f>
              <c:numCache>
                <c:formatCode>0.00</c:formatCode>
                <c:ptCount val="19"/>
                <c:pt idx="0">
                  <c:v>1.73</c:v>
                </c:pt>
                <c:pt idx="1">
                  <c:v>1.6497199277258465</c:v>
                </c:pt>
                <c:pt idx="2">
                  <c:v>1.5372287077566742</c:v>
                </c:pt>
                <c:pt idx="3">
                  <c:v>1.5287922252423944</c:v>
                </c:pt>
                <c:pt idx="4">
                  <c:v>1.5490219900376627</c:v>
                </c:pt>
                <c:pt idx="5">
                  <c:v>1.5413514547362381</c:v>
                </c:pt>
                <c:pt idx="6">
                  <c:v>1.4344775983661568</c:v>
                </c:pt>
                <c:pt idx="7">
                  <c:v>1.3457985298402437</c:v>
                </c:pt>
                <c:pt idx="8">
                  <c:v>1.2973458399037086</c:v>
                </c:pt>
                <c:pt idx="9">
                  <c:v>1.3219785777862794</c:v>
                </c:pt>
                <c:pt idx="10">
                  <c:v>1.263446480621492</c:v>
                </c:pt>
                <c:pt idx="11">
                  <c:v>1.2128186175414417</c:v>
                </c:pt>
                <c:pt idx="12">
                  <c:v>1.1346021391342633</c:v>
                </c:pt>
                <c:pt idx="13">
                  <c:v>1.0760791088367423</c:v>
                </c:pt>
                <c:pt idx="14">
                  <c:v>1.0356618349756139</c:v>
                </c:pt>
                <c:pt idx="15">
                  <c:v>1.0997195463914056</c:v>
                </c:pt>
                <c:pt idx="16">
                  <c:v>1.0620944316475791</c:v>
                </c:pt>
                <c:pt idx="17">
                  <c:v>0.98371525448571284</c:v>
                </c:pt>
                <c:pt idx="18">
                  <c:v>0.84578142901513353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C9-492E-98D3-0B152F1EEFEE}"/>
            </c:ext>
          </c:extLst>
        </c:ser>
        <c:ser>
          <c:idx val="2"/>
          <c:order val="2"/>
          <c:tx>
            <c:v>OFF-NCX2024-3 Surface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'OFF-NCX2024-3'!$J$19:$J$33</c:f>
              <c:numCache>
                <c:formatCode>0.00</c:formatCode>
                <c:ptCount val="15"/>
                <c:pt idx="0">
                  <c:v>0.26250000000000007</c:v>
                </c:pt>
                <c:pt idx="1">
                  <c:v>0.26510416666666664</c:v>
                </c:pt>
                <c:pt idx="2">
                  <c:v>0.29466145833333335</c:v>
                </c:pt>
                <c:pt idx="3">
                  <c:v>0.32161458333333337</c:v>
                </c:pt>
                <c:pt idx="4">
                  <c:v>0.34401041666666671</c:v>
                </c:pt>
                <c:pt idx="5">
                  <c:v>0.38268229166666667</c:v>
                </c:pt>
                <c:pt idx="6">
                  <c:v>0.42799479166666676</c:v>
                </c:pt>
                <c:pt idx="7">
                  <c:v>0.45638020833333337</c:v>
                </c:pt>
                <c:pt idx="8">
                  <c:v>0.4967447916666668</c:v>
                </c:pt>
                <c:pt idx="9">
                  <c:v>0.560546875</c:v>
                </c:pt>
                <c:pt idx="10">
                  <c:v>0.61875000000000002</c:v>
                </c:pt>
                <c:pt idx="11">
                  <c:v>0.71796875000000004</c:v>
                </c:pt>
                <c:pt idx="12">
                  <c:v>0.78489583333333335</c:v>
                </c:pt>
                <c:pt idx="13">
                  <c:v>0.86614583333333339</c:v>
                </c:pt>
                <c:pt idx="14">
                  <c:v>0.95494791666666679</c:v>
                </c:pt>
              </c:numCache>
            </c:numRef>
          </c:xVal>
          <c:yVal>
            <c:numRef>
              <c:f>'OFF-NCX2024-3'!$I$19:$I$33</c:f>
              <c:numCache>
                <c:formatCode>0.00</c:formatCode>
                <c:ptCount val="15"/>
                <c:pt idx="0">
                  <c:v>1.3099112426035504</c:v>
                </c:pt>
                <c:pt idx="1">
                  <c:v>1.2490010086902545</c:v>
                </c:pt>
                <c:pt idx="2">
                  <c:v>1.1780870568636748</c:v>
                </c:pt>
                <c:pt idx="3">
                  <c:v>1.2399952694808496</c:v>
                </c:pt>
                <c:pt idx="4">
                  <c:v>1.14519257127193</c:v>
                </c:pt>
                <c:pt idx="5">
                  <c:v>1.1164508739813961</c:v>
                </c:pt>
                <c:pt idx="6">
                  <c:v>1.054564494465005</c:v>
                </c:pt>
                <c:pt idx="7">
                  <c:v>1.0504384343916788</c:v>
                </c:pt>
                <c:pt idx="8">
                  <c:v>1.0429579443291843</c:v>
                </c:pt>
                <c:pt idx="9">
                  <c:v>1.0583459654850746</c:v>
                </c:pt>
                <c:pt idx="10">
                  <c:v>1.0577280405405407</c:v>
                </c:pt>
                <c:pt idx="11">
                  <c:v>1.1241867418616167</c:v>
                </c:pt>
                <c:pt idx="12">
                  <c:v>1.1440180080270383</c:v>
                </c:pt>
                <c:pt idx="13">
                  <c:v>1.146702751613466</c:v>
                </c:pt>
                <c:pt idx="14">
                  <c:v>1.1721415821689634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C9-492E-98D3-0B152F1EEFEE}"/>
            </c:ext>
          </c:extLst>
        </c:ser>
        <c:ser>
          <c:idx val="3"/>
          <c:order val="3"/>
          <c:tx>
            <c:v>OFF-NCX2024-4 Surface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'OFF-NCX2024-4'!$J$18:$J$30</c:f>
              <c:numCache>
                <c:formatCode>0.00</c:formatCode>
                <c:ptCount val="13"/>
                <c:pt idx="0">
                  <c:v>0.3016173570019724</c:v>
                </c:pt>
                <c:pt idx="1">
                  <c:v>0.30362935928629353</c:v>
                </c:pt>
                <c:pt idx="2">
                  <c:v>0.34772911597729111</c:v>
                </c:pt>
                <c:pt idx="3">
                  <c:v>0.40470397404703967</c:v>
                </c:pt>
                <c:pt idx="4">
                  <c:v>0.43065693430656926</c:v>
                </c:pt>
                <c:pt idx="5">
                  <c:v>0.48935523114355223</c:v>
                </c:pt>
                <c:pt idx="6">
                  <c:v>0.51540957015409561</c:v>
                </c:pt>
                <c:pt idx="7">
                  <c:v>0.54257907542579076</c:v>
                </c:pt>
                <c:pt idx="8">
                  <c:v>0.64801297648012968</c:v>
                </c:pt>
                <c:pt idx="9">
                  <c:v>0.76520681265206814</c:v>
                </c:pt>
                <c:pt idx="10">
                  <c:v>0.82613544201135436</c:v>
                </c:pt>
                <c:pt idx="11">
                  <c:v>0.90946877534468762</c:v>
                </c:pt>
                <c:pt idx="12">
                  <c:v>0.96451743714517424</c:v>
                </c:pt>
              </c:numCache>
            </c:numRef>
          </c:xVal>
          <c:yVal>
            <c:numRef>
              <c:f>'OFF-NCX2024-4'!$I$18:$I$30</c:f>
              <c:numCache>
                <c:formatCode>0.00</c:formatCode>
                <c:ptCount val="13"/>
                <c:pt idx="0">
                  <c:v>1.5291999999999999</c:v>
                </c:pt>
                <c:pt idx="1">
                  <c:v>1.3700612776624317</c:v>
                </c:pt>
                <c:pt idx="2">
                  <c:v>1.3855600581616363</c:v>
                </c:pt>
                <c:pt idx="3">
                  <c:v>1.3785602985880752</c:v>
                </c:pt>
                <c:pt idx="4">
                  <c:v>1.2990425136448751</c:v>
                </c:pt>
                <c:pt idx="5">
                  <c:v>1.3879117374680072</c:v>
                </c:pt>
                <c:pt idx="6">
                  <c:v>1.2102290295856173</c:v>
                </c:pt>
                <c:pt idx="7">
                  <c:v>1.1674061756954504</c:v>
                </c:pt>
                <c:pt idx="8">
                  <c:v>1.1574921754348428</c:v>
                </c:pt>
                <c:pt idx="9">
                  <c:v>1.2015604993019033</c:v>
                </c:pt>
                <c:pt idx="10">
                  <c:v>1.1366985157939553</c:v>
                </c:pt>
                <c:pt idx="11">
                  <c:v>1.1062875938093968</c:v>
                </c:pt>
                <c:pt idx="12">
                  <c:v>1.0739926658890524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C9-492E-98D3-0B152F1EE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366984"/>
        <c:axId val="975370264"/>
      </c:scatterChart>
      <c:valAx>
        <c:axId val="97536698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70264"/>
        <c:crosses val="autoZero"/>
        <c:crossBetween val="midCat"/>
      </c:valAx>
      <c:valAx>
        <c:axId val="97537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6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5171843650036"/>
          <c:y val="4.9661651373339555E-2"/>
          <c:w val="0.19877351508957733"/>
          <c:h val="0.24899354411600416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4"/>
          <c:order val="0"/>
          <c:tx>
            <c:v>OFF-NCX2024-1 Bore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1587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'OFF-NCX2024-1'!$B$15:$B$31</c:f>
              <c:numCache>
                <c:formatCode>General</c:formatCode>
                <c:ptCount val="17"/>
                <c:pt idx="0">
                  <c:v>0</c:v>
                </c:pt>
                <c:pt idx="1">
                  <c:v>2007</c:v>
                </c:pt>
                <c:pt idx="2">
                  <c:v>4348</c:v>
                </c:pt>
                <c:pt idx="3">
                  <c:v>6891</c:v>
                </c:pt>
                <c:pt idx="4">
                  <c:v>8932</c:v>
                </c:pt>
                <c:pt idx="5">
                  <c:v>11976</c:v>
                </c:pt>
                <c:pt idx="6">
                  <c:v>19361</c:v>
                </c:pt>
                <c:pt idx="7">
                  <c:v>21375</c:v>
                </c:pt>
                <c:pt idx="8">
                  <c:v>23647</c:v>
                </c:pt>
                <c:pt idx="9">
                  <c:v>26116</c:v>
                </c:pt>
                <c:pt idx="10">
                  <c:v>28140</c:v>
                </c:pt>
                <c:pt idx="11">
                  <c:v>30115</c:v>
                </c:pt>
                <c:pt idx="12">
                  <c:v>32119</c:v>
                </c:pt>
                <c:pt idx="13">
                  <c:v>34161</c:v>
                </c:pt>
                <c:pt idx="14">
                  <c:v>36309</c:v>
                </c:pt>
                <c:pt idx="15">
                  <c:v>38503</c:v>
                </c:pt>
                <c:pt idx="16">
                  <c:v>40580</c:v>
                </c:pt>
              </c:numCache>
            </c:numRef>
          </c:xVal>
          <c:yVal>
            <c:numRef>
              <c:f>'OFF-NCX2024-1'!$G$15:$G$31</c:f>
              <c:numCache>
                <c:formatCode>General</c:formatCode>
                <c:ptCount val="17"/>
                <c:pt idx="0">
                  <c:v>7.1548890258939582E-2</c:v>
                </c:pt>
                <c:pt idx="1">
                  <c:v>7.3768187422934645E-2</c:v>
                </c:pt>
                <c:pt idx="2">
                  <c:v>7.8269297163995069E-2</c:v>
                </c:pt>
                <c:pt idx="3">
                  <c:v>7.9582120838471021E-2</c:v>
                </c:pt>
                <c:pt idx="4">
                  <c:v>8.4552096177558572E-2</c:v>
                </c:pt>
                <c:pt idx="5">
                  <c:v>9.4054438964241677E-2</c:v>
                </c:pt>
                <c:pt idx="6">
                  <c:v>0.12034217016029593</c:v>
                </c:pt>
                <c:pt idx="7">
                  <c:v>0.12509334155363749</c:v>
                </c:pt>
                <c:pt idx="8">
                  <c:v>0.13543964241676942</c:v>
                </c:pt>
                <c:pt idx="9">
                  <c:v>0.14562965474722564</c:v>
                </c:pt>
                <c:pt idx="10">
                  <c:v>0.14994321824907522</c:v>
                </c:pt>
                <c:pt idx="11">
                  <c:v>0.15997694204685575</c:v>
                </c:pt>
                <c:pt idx="12">
                  <c:v>0.17373033292231813</c:v>
                </c:pt>
                <c:pt idx="13">
                  <c:v>0.18851522811344021</c:v>
                </c:pt>
                <c:pt idx="14">
                  <c:v>0.20067447595561033</c:v>
                </c:pt>
                <c:pt idx="15">
                  <c:v>0.21811627620221946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A42-4EA5-BD26-044E29A6F2A9}"/>
            </c:ext>
          </c:extLst>
        </c:ser>
        <c:ser>
          <c:idx val="5"/>
          <c:order val="1"/>
          <c:tx>
            <c:v>OFF-NCX2024-2 Bore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19050">
                <a:solidFill>
                  <a:schemeClr val="accent2"/>
                </a:solidFill>
              </a:ln>
              <a:effectLst/>
            </c:spPr>
          </c:marker>
          <c:xVal>
            <c:numRef>
              <c:f>'OFF-NCX2024-2'!$B$18:$B$36</c:f>
              <c:numCache>
                <c:formatCode>General</c:formatCode>
                <c:ptCount val="19"/>
                <c:pt idx="0">
                  <c:v>0</c:v>
                </c:pt>
                <c:pt idx="1">
                  <c:v>1661</c:v>
                </c:pt>
                <c:pt idx="2">
                  <c:v>3745</c:v>
                </c:pt>
                <c:pt idx="3">
                  <c:v>5810</c:v>
                </c:pt>
                <c:pt idx="4">
                  <c:v>7883</c:v>
                </c:pt>
                <c:pt idx="5">
                  <c:v>11213</c:v>
                </c:pt>
                <c:pt idx="6">
                  <c:v>13991</c:v>
                </c:pt>
                <c:pt idx="7">
                  <c:v>15997</c:v>
                </c:pt>
                <c:pt idx="8">
                  <c:v>18129</c:v>
                </c:pt>
                <c:pt idx="9">
                  <c:v>20122</c:v>
                </c:pt>
                <c:pt idx="10">
                  <c:v>22144</c:v>
                </c:pt>
                <c:pt idx="11">
                  <c:v>24178</c:v>
                </c:pt>
                <c:pt idx="12">
                  <c:v>26186</c:v>
                </c:pt>
                <c:pt idx="13">
                  <c:v>28195</c:v>
                </c:pt>
                <c:pt idx="14">
                  <c:v>31212</c:v>
                </c:pt>
                <c:pt idx="15">
                  <c:v>34409</c:v>
                </c:pt>
                <c:pt idx="16">
                  <c:v>37823</c:v>
                </c:pt>
                <c:pt idx="17">
                  <c:v>40327</c:v>
                </c:pt>
                <c:pt idx="18">
                  <c:v>42889</c:v>
                </c:pt>
              </c:numCache>
            </c:numRef>
          </c:xVal>
          <c:yVal>
            <c:numRef>
              <c:f>'OFF-NCX2024-2'!$G$18:$G$36</c:f>
              <c:numCache>
                <c:formatCode>General</c:formatCode>
                <c:ptCount val="19"/>
                <c:pt idx="0">
                  <c:v>8.6500000000000007E-2</c:v>
                </c:pt>
                <c:pt idx="1">
                  <c:v>8.8820920908759579E-2</c:v>
                </c:pt>
                <c:pt idx="2">
                  <c:v>9.2879358522658259E-2</c:v>
                </c:pt>
                <c:pt idx="3">
                  <c:v>9.8331915927590816E-2</c:v>
                </c:pt>
                <c:pt idx="4">
                  <c:v>0.10626290851658365</c:v>
                </c:pt>
                <c:pt idx="5">
                  <c:v>0.11205625075932452</c:v>
                </c:pt>
                <c:pt idx="6">
                  <c:v>0.11639351233142997</c:v>
                </c:pt>
                <c:pt idx="7">
                  <c:v>0.12166018709755802</c:v>
                </c:pt>
                <c:pt idx="8">
                  <c:v>0.12584254647065973</c:v>
                </c:pt>
                <c:pt idx="9">
                  <c:v>0.13420726521686308</c:v>
                </c:pt>
                <c:pt idx="10">
                  <c:v>0.13473393269347592</c:v>
                </c:pt>
                <c:pt idx="11">
                  <c:v>0.14204531648645366</c:v>
                </c:pt>
                <c:pt idx="12">
                  <c:v>0.14783865872919452</c:v>
                </c:pt>
                <c:pt idx="13">
                  <c:v>0.15542886648037907</c:v>
                </c:pt>
                <c:pt idx="14">
                  <c:v>0.16506378325841334</c:v>
                </c:pt>
                <c:pt idx="15">
                  <c:v>0.19396853359251612</c:v>
                </c:pt>
                <c:pt idx="16">
                  <c:v>0.21441562386101326</c:v>
                </c:pt>
                <c:pt idx="17">
                  <c:v>0.2242674037176528</c:v>
                </c:pt>
                <c:pt idx="18">
                  <c:v>0.2242674037176528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A42-4EA5-BD26-044E29A6F2A9}"/>
            </c:ext>
          </c:extLst>
        </c:ser>
        <c:ser>
          <c:idx val="6"/>
          <c:order val="2"/>
          <c:tx>
            <c:v>OFF-NCX2024-3 Bore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'OFF-NCX2024-3'!$B$19:$B$33</c:f>
              <c:numCache>
                <c:formatCode>General</c:formatCode>
                <c:ptCount val="15"/>
                <c:pt idx="0">
                  <c:v>0</c:v>
                </c:pt>
                <c:pt idx="1">
                  <c:v>3288</c:v>
                </c:pt>
                <c:pt idx="2">
                  <c:v>7453</c:v>
                </c:pt>
                <c:pt idx="3">
                  <c:v>10450</c:v>
                </c:pt>
                <c:pt idx="4">
                  <c:v>14327</c:v>
                </c:pt>
                <c:pt idx="5">
                  <c:v>18253</c:v>
                </c:pt>
                <c:pt idx="6">
                  <c:v>21709</c:v>
                </c:pt>
                <c:pt idx="7">
                  <c:v>24795</c:v>
                </c:pt>
                <c:pt idx="8">
                  <c:v>28176</c:v>
                </c:pt>
                <c:pt idx="9">
                  <c:v>31923</c:v>
                </c:pt>
                <c:pt idx="10">
                  <c:v>34885</c:v>
                </c:pt>
                <c:pt idx="11">
                  <c:v>38163</c:v>
                </c:pt>
                <c:pt idx="12">
                  <c:v>40870</c:v>
                </c:pt>
                <c:pt idx="13">
                  <c:v>43125</c:v>
                </c:pt>
                <c:pt idx="14">
                  <c:v>45084</c:v>
                </c:pt>
              </c:numCache>
            </c:numRef>
          </c:xVal>
          <c:yVal>
            <c:numRef>
              <c:f>'OFF-NCX2024-3'!$G$19:$G$33</c:f>
              <c:numCache>
                <c:formatCode>General</c:formatCode>
                <c:ptCount val="15"/>
                <c:pt idx="0">
                  <c:v>6.6412500000000013E-2</c:v>
                </c:pt>
                <c:pt idx="1">
                  <c:v>6.7071354166666666E-2</c:v>
                </c:pt>
                <c:pt idx="2">
                  <c:v>7.4549348958333345E-2</c:v>
                </c:pt>
                <c:pt idx="3">
                  <c:v>8.1368489583333342E-2</c:v>
                </c:pt>
                <c:pt idx="4">
                  <c:v>8.7034635416666672E-2</c:v>
                </c:pt>
                <c:pt idx="5">
                  <c:v>9.6818619791666671E-2</c:v>
                </c:pt>
                <c:pt idx="6">
                  <c:v>0.1082826822916667</c:v>
                </c:pt>
                <c:pt idx="7">
                  <c:v>0.11546419270833334</c:v>
                </c:pt>
                <c:pt idx="8">
                  <c:v>0.1256764322916667</c:v>
                </c:pt>
                <c:pt idx="9">
                  <c:v>0.14181835937500001</c:v>
                </c:pt>
                <c:pt idx="10">
                  <c:v>0.15654375000000001</c:v>
                </c:pt>
                <c:pt idx="11">
                  <c:v>0.18164609375000002</c:v>
                </c:pt>
                <c:pt idx="12">
                  <c:v>0.19857864583333334</c:v>
                </c:pt>
                <c:pt idx="13">
                  <c:v>0.21913489583333334</c:v>
                </c:pt>
                <c:pt idx="14">
                  <c:v>0.24160182291666671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A42-4EA5-BD26-044E29A6F2A9}"/>
            </c:ext>
          </c:extLst>
        </c:ser>
        <c:ser>
          <c:idx val="7"/>
          <c:order val="3"/>
          <c:tx>
            <c:v>OFF-NCX2024-4 Bore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15875">
                <a:solidFill>
                  <a:srgbClr val="FFC000"/>
                </a:solidFill>
              </a:ln>
              <a:effectLst/>
            </c:spPr>
          </c:marker>
          <c:xVal>
            <c:numRef>
              <c:f>'OFF-NCX2024-4'!$B$18:$B$30</c:f>
              <c:numCache>
                <c:formatCode>General</c:formatCode>
                <c:ptCount val="13"/>
                <c:pt idx="0">
                  <c:v>0</c:v>
                </c:pt>
                <c:pt idx="1">
                  <c:v>2603</c:v>
                </c:pt>
                <c:pt idx="2">
                  <c:v>6266</c:v>
                </c:pt>
                <c:pt idx="3">
                  <c:v>10141</c:v>
                </c:pt>
                <c:pt idx="4">
                  <c:v>13522</c:v>
                </c:pt>
                <c:pt idx="5">
                  <c:v>17377</c:v>
                </c:pt>
                <c:pt idx="6">
                  <c:v>20778</c:v>
                </c:pt>
                <c:pt idx="7">
                  <c:v>24830</c:v>
                </c:pt>
                <c:pt idx="8">
                  <c:v>28442</c:v>
                </c:pt>
                <c:pt idx="9">
                  <c:v>31995</c:v>
                </c:pt>
                <c:pt idx="10">
                  <c:v>35051</c:v>
                </c:pt>
                <c:pt idx="11">
                  <c:v>37830</c:v>
                </c:pt>
                <c:pt idx="12">
                  <c:v>39641</c:v>
                </c:pt>
              </c:numCache>
            </c:numRef>
          </c:xVal>
          <c:yVal>
            <c:numRef>
              <c:f>'OFF-NCX2024-4'!$G$18:$G$30</c:f>
              <c:numCache>
                <c:formatCode>General</c:formatCode>
                <c:ptCount val="13"/>
                <c:pt idx="0">
                  <c:v>7.646E-2</c:v>
                </c:pt>
                <c:pt idx="1">
                  <c:v>7.6970042579075415E-2</c:v>
                </c:pt>
                <c:pt idx="2">
                  <c:v>8.8149330900243295E-2</c:v>
                </c:pt>
                <c:pt idx="3">
                  <c:v>0.10259245742092456</c:v>
                </c:pt>
                <c:pt idx="4">
                  <c:v>0.10917153284671531</c:v>
                </c:pt>
                <c:pt idx="5">
                  <c:v>0.12405155109489049</c:v>
                </c:pt>
                <c:pt idx="6">
                  <c:v>0.13065632603406324</c:v>
                </c:pt>
                <c:pt idx="7">
                  <c:v>0.13754379562043795</c:v>
                </c:pt>
                <c:pt idx="8">
                  <c:v>0.16427128953771289</c:v>
                </c:pt>
                <c:pt idx="9">
                  <c:v>0.19397992700729927</c:v>
                </c:pt>
                <c:pt idx="10">
                  <c:v>0.20942533454987833</c:v>
                </c:pt>
                <c:pt idx="11">
                  <c:v>0.23055033454987831</c:v>
                </c:pt>
                <c:pt idx="12">
                  <c:v>0.24450517031630167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A42-4EA5-BD26-044E29A6F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366984"/>
        <c:axId val="975370264"/>
      </c:scatterChart>
      <c:valAx>
        <c:axId val="97536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70264"/>
        <c:crosses val="autoZero"/>
        <c:crossBetween val="midCat"/>
      </c:valAx>
      <c:valAx>
        <c:axId val="97537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Crack Length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6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340173071290376"/>
          <c:y val="4.9661651373339555E-2"/>
          <c:w val="0.27763089101269062"/>
          <c:h val="0.2732402819494860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OFF-CX2024-3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'OFF-CX2024-3'!$B$18:$B$29</c:f>
              <c:numCache>
                <c:formatCode>General</c:formatCode>
                <c:ptCount val="12"/>
                <c:pt idx="0">
                  <c:v>0</c:v>
                </c:pt>
                <c:pt idx="1">
                  <c:v>1939</c:v>
                </c:pt>
                <c:pt idx="2">
                  <c:v>8846</c:v>
                </c:pt>
                <c:pt idx="3">
                  <c:v>14596</c:v>
                </c:pt>
                <c:pt idx="4">
                  <c:v>19597</c:v>
                </c:pt>
                <c:pt idx="5">
                  <c:v>23216</c:v>
                </c:pt>
                <c:pt idx="6">
                  <c:v>26170</c:v>
                </c:pt>
                <c:pt idx="7">
                  <c:v>27046</c:v>
                </c:pt>
                <c:pt idx="8">
                  <c:v>27652</c:v>
                </c:pt>
                <c:pt idx="9">
                  <c:v>27846</c:v>
                </c:pt>
                <c:pt idx="10">
                  <c:v>27984</c:v>
                </c:pt>
                <c:pt idx="11">
                  <c:v>28016</c:v>
                </c:pt>
              </c:numCache>
            </c:numRef>
          </c:xVal>
          <c:yVal>
            <c:numRef>
              <c:f>'OFF-CX2024-3'!$C$18:$C$29</c:f>
              <c:numCache>
                <c:formatCode>0.00000</c:formatCode>
                <c:ptCount val="12"/>
                <c:pt idx="0">
                  <c:v>0.05</c:v>
                </c:pt>
                <c:pt idx="1">
                  <c:v>7.2120000000000004E-2</c:v>
                </c:pt>
                <c:pt idx="2">
                  <c:v>9.0459999999999999E-2</c:v>
                </c:pt>
                <c:pt idx="3">
                  <c:v>0.10926</c:v>
                </c:pt>
                <c:pt idx="4">
                  <c:v>0.13023999999999999</c:v>
                </c:pt>
                <c:pt idx="5">
                  <c:v>0.15415999999999999</c:v>
                </c:pt>
                <c:pt idx="6">
                  <c:v>0.19918</c:v>
                </c:pt>
                <c:pt idx="7">
                  <c:v>0.22444</c:v>
                </c:pt>
                <c:pt idx="8">
                  <c:v>0.25858000000000003</c:v>
                </c:pt>
                <c:pt idx="9">
                  <c:v>0.28704000000000002</c:v>
                </c:pt>
                <c:pt idx="10">
                  <c:v>0.34598000000000001</c:v>
                </c:pt>
                <c:pt idx="11">
                  <c:v>0.34598000000000001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8D-451F-A0FB-2615202FAB18}"/>
            </c:ext>
          </c:extLst>
        </c:ser>
        <c:ser>
          <c:idx val="1"/>
          <c:order val="1"/>
          <c:tx>
            <c:v>OFF-CX2024-4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'OFF-CX2024-4'!$B$19:$B$33</c:f>
              <c:numCache>
                <c:formatCode>General</c:formatCode>
                <c:ptCount val="15"/>
                <c:pt idx="0">
                  <c:v>0</c:v>
                </c:pt>
                <c:pt idx="1">
                  <c:v>1250</c:v>
                </c:pt>
                <c:pt idx="2">
                  <c:v>2222</c:v>
                </c:pt>
                <c:pt idx="3">
                  <c:v>4243</c:v>
                </c:pt>
                <c:pt idx="4">
                  <c:v>5634</c:v>
                </c:pt>
                <c:pt idx="5">
                  <c:v>6486</c:v>
                </c:pt>
                <c:pt idx="6">
                  <c:v>7699</c:v>
                </c:pt>
                <c:pt idx="7">
                  <c:v>8431</c:v>
                </c:pt>
                <c:pt idx="8">
                  <c:v>10534</c:v>
                </c:pt>
                <c:pt idx="9">
                  <c:v>11755</c:v>
                </c:pt>
                <c:pt idx="10">
                  <c:v>12390</c:v>
                </c:pt>
                <c:pt idx="11">
                  <c:v>12705</c:v>
                </c:pt>
                <c:pt idx="12">
                  <c:v>13162</c:v>
                </c:pt>
                <c:pt idx="13">
                  <c:v>13485</c:v>
                </c:pt>
                <c:pt idx="14">
                  <c:v>13772</c:v>
                </c:pt>
              </c:numCache>
            </c:numRef>
          </c:xVal>
          <c:yVal>
            <c:numRef>
              <c:f>'OFF-CX2024-4'!$C$19:$C$33</c:f>
              <c:numCache>
                <c:formatCode>General</c:formatCode>
                <c:ptCount val="15"/>
                <c:pt idx="0">
                  <c:v>0.05</c:v>
                </c:pt>
                <c:pt idx="1">
                  <c:v>5.6140000000000002E-2</c:v>
                </c:pt>
                <c:pt idx="2">
                  <c:v>6.6780000000000006E-2</c:v>
                </c:pt>
                <c:pt idx="3">
                  <c:v>7.6799999999999993E-2</c:v>
                </c:pt>
                <c:pt idx="4">
                  <c:v>8.5349999999999995E-2</c:v>
                </c:pt>
                <c:pt idx="5">
                  <c:v>9.3399999999999997E-2</c:v>
                </c:pt>
                <c:pt idx="6">
                  <c:v>0.10718</c:v>
                </c:pt>
                <c:pt idx="7">
                  <c:v>0.12186</c:v>
                </c:pt>
                <c:pt idx="8">
                  <c:v>0.14532</c:v>
                </c:pt>
                <c:pt idx="9">
                  <c:v>0.16602</c:v>
                </c:pt>
                <c:pt idx="10">
                  <c:v>0.18514</c:v>
                </c:pt>
                <c:pt idx="11">
                  <c:v>0.20562</c:v>
                </c:pt>
                <c:pt idx="12">
                  <c:v>0.22036</c:v>
                </c:pt>
                <c:pt idx="13">
                  <c:v>0.23813999999999999</c:v>
                </c:pt>
                <c:pt idx="14">
                  <c:v>0.34905999999999998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8D-451F-A0FB-2615202FAB18}"/>
            </c:ext>
          </c:extLst>
        </c:ser>
        <c:ser>
          <c:idx val="2"/>
          <c:order val="2"/>
          <c:tx>
            <c:v>OFF-CX2024-7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'OFF-CX2024-7'!$B$17:$B$33</c:f>
              <c:numCache>
                <c:formatCode>General</c:formatCode>
                <c:ptCount val="17"/>
                <c:pt idx="0">
                  <c:v>0</c:v>
                </c:pt>
                <c:pt idx="1">
                  <c:v>537</c:v>
                </c:pt>
                <c:pt idx="2">
                  <c:v>2709</c:v>
                </c:pt>
                <c:pt idx="3">
                  <c:v>5785</c:v>
                </c:pt>
                <c:pt idx="4">
                  <c:v>7241</c:v>
                </c:pt>
                <c:pt idx="5">
                  <c:v>9254</c:v>
                </c:pt>
                <c:pt idx="6">
                  <c:v>11501</c:v>
                </c:pt>
                <c:pt idx="7">
                  <c:v>13342</c:v>
                </c:pt>
                <c:pt idx="8">
                  <c:v>15068</c:v>
                </c:pt>
                <c:pt idx="9">
                  <c:v>16922</c:v>
                </c:pt>
                <c:pt idx="10">
                  <c:v>17978</c:v>
                </c:pt>
                <c:pt idx="11">
                  <c:v>18879</c:v>
                </c:pt>
                <c:pt idx="12">
                  <c:v>19386</c:v>
                </c:pt>
                <c:pt idx="13">
                  <c:v>19845</c:v>
                </c:pt>
                <c:pt idx="14">
                  <c:v>20156</c:v>
                </c:pt>
                <c:pt idx="15">
                  <c:v>20280</c:v>
                </c:pt>
                <c:pt idx="16">
                  <c:v>20418</c:v>
                </c:pt>
              </c:numCache>
            </c:numRef>
          </c:xVal>
          <c:yVal>
            <c:numRef>
              <c:f>'OFF-CX2024-7'!$C$17:$C$33</c:f>
              <c:numCache>
                <c:formatCode>General</c:formatCode>
                <c:ptCount val="17"/>
                <c:pt idx="0">
                  <c:v>5.058E-2</c:v>
                </c:pt>
                <c:pt idx="1">
                  <c:v>5.348E-2</c:v>
                </c:pt>
                <c:pt idx="2">
                  <c:v>6.8159999999999998E-2</c:v>
                </c:pt>
                <c:pt idx="3">
                  <c:v>7.6039999999999996E-2</c:v>
                </c:pt>
                <c:pt idx="4">
                  <c:v>8.3940000000000001E-2</c:v>
                </c:pt>
                <c:pt idx="5">
                  <c:v>9.3119999999999994E-2</c:v>
                </c:pt>
                <c:pt idx="6">
                  <c:v>0.10743999999999999</c:v>
                </c:pt>
                <c:pt idx="7">
                  <c:v>0.1273</c:v>
                </c:pt>
                <c:pt idx="8">
                  <c:v>0.14648</c:v>
                </c:pt>
                <c:pt idx="9">
                  <c:v>0.16752</c:v>
                </c:pt>
                <c:pt idx="10">
                  <c:v>0.18606</c:v>
                </c:pt>
                <c:pt idx="11">
                  <c:v>0.20111999999999999</c:v>
                </c:pt>
                <c:pt idx="12">
                  <c:v>0.21823999999999999</c:v>
                </c:pt>
                <c:pt idx="13">
                  <c:v>0.24762000000000001</c:v>
                </c:pt>
                <c:pt idx="14">
                  <c:v>0.29570000000000002</c:v>
                </c:pt>
                <c:pt idx="15">
                  <c:v>0.35082000000000002</c:v>
                </c:pt>
                <c:pt idx="16">
                  <c:v>0.35082000000000002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8D-451F-A0FB-2615202FAB18}"/>
            </c:ext>
          </c:extLst>
        </c:ser>
        <c:ser>
          <c:idx val="3"/>
          <c:order val="3"/>
          <c:tx>
            <c:v>OFF-CX2024-8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'OFF-CX2024-8'!$B$18:$B$28</c:f>
              <c:numCache>
                <c:formatCode>General</c:formatCode>
                <c:ptCount val="11"/>
                <c:pt idx="0">
                  <c:v>0</c:v>
                </c:pt>
                <c:pt idx="1">
                  <c:v>4017</c:v>
                </c:pt>
                <c:pt idx="2">
                  <c:v>16877</c:v>
                </c:pt>
                <c:pt idx="3">
                  <c:v>27925</c:v>
                </c:pt>
                <c:pt idx="4">
                  <c:v>36448</c:v>
                </c:pt>
                <c:pt idx="5">
                  <c:v>40846</c:v>
                </c:pt>
                <c:pt idx="6">
                  <c:v>44112</c:v>
                </c:pt>
                <c:pt idx="7">
                  <c:v>46845</c:v>
                </c:pt>
                <c:pt idx="8">
                  <c:v>47290</c:v>
                </c:pt>
                <c:pt idx="9">
                  <c:v>47503</c:v>
                </c:pt>
                <c:pt idx="10">
                  <c:v>47672</c:v>
                </c:pt>
              </c:numCache>
            </c:numRef>
          </c:xVal>
          <c:yVal>
            <c:numRef>
              <c:f>'OFF-CX2024-8'!$C$18:$C$28</c:f>
              <c:numCache>
                <c:formatCode>General</c:formatCode>
                <c:ptCount val="11"/>
                <c:pt idx="0">
                  <c:v>0.05</c:v>
                </c:pt>
                <c:pt idx="1">
                  <c:v>6.4019999999999994E-2</c:v>
                </c:pt>
                <c:pt idx="2">
                  <c:v>8.4279999999999994E-2</c:v>
                </c:pt>
                <c:pt idx="3">
                  <c:v>0.10442</c:v>
                </c:pt>
                <c:pt idx="4">
                  <c:v>0.12224</c:v>
                </c:pt>
                <c:pt idx="5">
                  <c:v>0.14338000000000001</c:v>
                </c:pt>
                <c:pt idx="6">
                  <c:v>0.17426</c:v>
                </c:pt>
                <c:pt idx="7">
                  <c:v>0.22764000000000001</c:v>
                </c:pt>
                <c:pt idx="8">
                  <c:v>0.25512000000000001</c:v>
                </c:pt>
                <c:pt idx="9">
                  <c:v>0.29786000000000001</c:v>
                </c:pt>
                <c:pt idx="10">
                  <c:v>0.35077999999999998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78D-451F-A0FB-2615202FA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366984"/>
        <c:axId val="975370264"/>
      </c:scatterChart>
      <c:valAx>
        <c:axId val="97536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70264"/>
        <c:crosses val="autoZero"/>
        <c:crossBetween val="midCat"/>
      </c:valAx>
      <c:valAx>
        <c:axId val="97537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Crack Length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6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927128425044323"/>
          <c:y val="0.69328981068700679"/>
          <c:w val="0.27763089101269062"/>
          <c:h val="0.1740648737533548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11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zoomScale="11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Chart9"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Chart11"/>
  <sheetViews>
    <sheetView zoomScale="11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 codeName="Chart21"/>
  <sheetViews>
    <sheetView zoomScale="117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22"/>
  <sheetViews>
    <sheetView zoomScale="117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 codeName="Chart23"/>
  <sheetViews>
    <sheetView zoomScale="117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 codeName="Chart29"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330397</xdr:colOff>
      <xdr:row>7</xdr:row>
      <xdr:rowOff>57844</xdr:rowOff>
    </xdr:from>
    <xdr:to>
      <xdr:col>10</xdr:col>
      <xdr:colOff>784861</xdr:colOff>
      <xdr:row>23</xdr:row>
      <xdr:rowOff>111705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6DD05C-A33A-4E3E-A5DB-157264F3F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397" y="1703764"/>
          <a:ext cx="7236264" cy="29799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1196340</xdr:colOff>
      <xdr:row>10</xdr:row>
      <xdr:rowOff>10088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130353-F088-45CD-852E-FDB8C2D2B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6920" cy="227322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1180204</xdr:colOff>
      <xdr:row>9</xdr:row>
      <xdr:rowOff>670086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1A4B8B-1129-4BB5-AFD0-CE133E8CD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821680" cy="231600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1406339</xdr:colOff>
      <xdr:row>9</xdr:row>
      <xdr:rowOff>631372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C5A73C-69FB-4633-ADE6-402CDF9D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83114" cy="229688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1153885</xdr:colOff>
      <xdr:row>10</xdr:row>
      <xdr:rowOff>15830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7EB09A-E26D-41AF-9404-FD2E9B690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29299" cy="233993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1161506</xdr:colOff>
      <xdr:row>9</xdr:row>
      <xdr:rowOff>653057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91FC28-468D-460D-A66F-5FE4A5543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836920" cy="229897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</xdr:rowOff>
    </xdr:from>
    <xdr:to>
      <xdr:col>7</xdr:col>
      <xdr:colOff>1146266</xdr:colOff>
      <xdr:row>10</xdr:row>
      <xdr:rowOff>6625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352E51-43AD-4810-ABE2-02D652FD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7620"/>
          <a:ext cx="5783579" cy="223003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1146266</xdr:colOff>
      <xdr:row>9</xdr:row>
      <xdr:rowOff>645789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2D109B-A2A6-4D0F-93D1-AD8D1EFA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821680" cy="229170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1161506</xdr:colOff>
      <xdr:row>9</xdr:row>
      <xdr:rowOff>600813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AF341E-5F78-4367-825D-40063744E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836919" cy="224673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3C8FE-7572-42EE-91D0-51CC46A46F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3E0EEB-BD78-42F2-B5E5-46C1367EFB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872017-2A02-43C2-9511-91B46DDE3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3CB9C5-B9EA-45D6-BE18-CAE780A6AB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851647</xdr:colOff>
      <xdr:row>10</xdr:row>
      <xdr:rowOff>9428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E445D-AEB4-471F-9598-7480CAD26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18847" cy="235818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853440</xdr:colOff>
      <xdr:row>10</xdr:row>
      <xdr:rowOff>1344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EDF95-0048-4096-991E-57C7ACF37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20640" cy="24473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845820</xdr:colOff>
      <xdr:row>9</xdr:row>
      <xdr:rowOff>670475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191F65-6014-4C5D-AE36-704ACE823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113019" cy="231639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838200</xdr:colOff>
      <xdr:row>9</xdr:row>
      <xdr:rowOff>728466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72C0F6-1787-4A0F-ACAE-F37A9B8C6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05400" cy="237438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58B85F-79E2-43B0-9D1F-0849835989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0.73587</cdr:x>
      <cdr:y>0.07946</cdr:y>
    </cdr:from>
    <cdr:to>
      <cdr:x>0.84152</cdr:x>
      <cdr:y>0.22519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E9B59DD-6E05-4B31-894C-1678D30E3A59}"/>
            </a:ext>
          </a:extLst>
        </cdr:cNvPr>
        <cdr:cNvSpPr txBox="1"/>
      </cdr:nvSpPr>
      <cdr:spPr>
        <a:xfrm xmlns:a="http://schemas.openxmlformats.org/drawingml/2006/main">
          <a:off x="6368815" y="49859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rgbClr val="FFC000"/>
              </a:solidFill>
            </a:rPr>
            <a:t>2.92%</a:t>
          </a:r>
        </a:p>
      </cdr:txBody>
    </cdr:sp>
  </cdr:relSizeAnchor>
  <cdr:relSizeAnchor xmlns:cdr="http://schemas.openxmlformats.org/drawingml/2006/chartDrawing">
    <cdr:from>
      <cdr:x>0.495</cdr:x>
      <cdr:y>0.09055</cdr:y>
    </cdr:from>
    <cdr:to>
      <cdr:x>0.60065</cdr:x>
      <cdr:y>0.23628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9F9B151-569C-4C0A-8582-2DCDBF57EEE1}"/>
            </a:ext>
          </a:extLst>
        </cdr:cNvPr>
        <cdr:cNvSpPr txBox="1"/>
      </cdr:nvSpPr>
      <cdr:spPr>
        <a:xfrm xmlns:a="http://schemas.openxmlformats.org/drawingml/2006/main">
          <a:off x="4284133" y="56820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1"/>
              </a:solidFill>
            </a:rPr>
            <a:t>2.82%</a:t>
          </a:r>
        </a:p>
      </cdr:txBody>
    </cdr:sp>
  </cdr:relSizeAnchor>
  <cdr:relSizeAnchor xmlns:cdr="http://schemas.openxmlformats.org/drawingml/2006/chartDrawing">
    <cdr:from>
      <cdr:x>0.37652</cdr:x>
      <cdr:y>0.08306</cdr:y>
    </cdr:from>
    <cdr:to>
      <cdr:x>0.48217</cdr:x>
      <cdr:y>0.22879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9F9B151-569C-4C0A-8582-2DCDBF57EEE1}"/>
            </a:ext>
          </a:extLst>
        </cdr:cNvPr>
        <cdr:cNvSpPr txBox="1"/>
      </cdr:nvSpPr>
      <cdr:spPr>
        <a:xfrm xmlns:a="http://schemas.openxmlformats.org/drawingml/2006/main">
          <a:off x="3258726" y="52117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6">
                  <a:lumMod val="75000"/>
                </a:schemeClr>
              </a:solidFill>
            </a:rPr>
            <a:t>2.69%</a:t>
          </a:r>
        </a:p>
      </cdr:txBody>
    </cdr:sp>
  </cdr:relSizeAnchor>
  <cdr:relSizeAnchor xmlns:cdr="http://schemas.openxmlformats.org/drawingml/2006/chartDrawing">
    <cdr:from>
      <cdr:x>0.24283</cdr:x>
      <cdr:y>0.08456</cdr:y>
    </cdr:from>
    <cdr:to>
      <cdr:x>0.34848</cdr:x>
      <cdr:y>0.23028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B9F9B151-569C-4C0A-8582-2DCDBF57EEE1}"/>
            </a:ext>
          </a:extLst>
        </cdr:cNvPr>
        <cdr:cNvSpPr txBox="1"/>
      </cdr:nvSpPr>
      <cdr:spPr>
        <a:xfrm xmlns:a="http://schemas.openxmlformats.org/drawingml/2006/main">
          <a:off x="2101615" y="5305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2"/>
              </a:solidFill>
            </a:rPr>
            <a:t>2.68%</a:t>
          </a:r>
        </a:p>
      </cdr:txBody>
    </cdr:sp>
  </cdr:relSizeAnchor>
  <cdr:relSizeAnchor xmlns:cdr="http://schemas.openxmlformats.org/drawingml/2006/chartDrawing">
    <cdr:from>
      <cdr:x>0.39717</cdr:x>
      <cdr:y>0.03808</cdr:y>
    </cdr:from>
    <cdr:to>
      <cdr:x>0.50283</cdr:x>
      <cdr:y>0.18381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9F9B151-569C-4C0A-8582-2DCDBF57EEE1}"/>
            </a:ext>
          </a:extLst>
        </cdr:cNvPr>
        <cdr:cNvSpPr txBox="1"/>
      </cdr:nvSpPr>
      <cdr:spPr>
        <a:xfrm xmlns:a="http://schemas.openxmlformats.org/drawingml/2006/main">
          <a:off x="3437466" y="2389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</a:rPr>
            <a:t>Residual Expansion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327660</xdr:colOff>
      <xdr:row>9</xdr:row>
      <xdr:rowOff>669816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69C003-C20A-4D3F-A746-783906031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709159" cy="231573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380562</xdr:colOff>
      <xdr:row>9</xdr:row>
      <xdr:rowOff>670560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9D37F0-0452-46A3-8238-0A484FFC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062" cy="231648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594359</xdr:colOff>
      <xdr:row>9</xdr:row>
      <xdr:rowOff>670430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B42D2-EA0E-46C6-B72F-90092BC8D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75859" cy="23163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4F507A-CA24-4C68-A27E-877B77FFF03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464820</xdr:colOff>
      <xdr:row>9</xdr:row>
      <xdr:rowOff>645341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9EEEA0-613E-471B-8A59-6A6BB494C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846319" cy="229126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1405218</xdr:colOff>
      <xdr:row>9</xdr:row>
      <xdr:rowOff>852804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CDA5D3-02E3-4511-9B44-A4BAF4EDD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827058" cy="24664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12738</xdr:colOff>
      <xdr:row>9</xdr:row>
      <xdr:rowOff>1318260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96404-50E1-4A0B-90D6-C49273A64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61238" cy="29641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409E02-69B0-493E-91FD-E800AA5583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0.54065</cdr:x>
      <cdr:y>0.04858</cdr:y>
    </cdr:from>
    <cdr:to>
      <cdr:x>0.6463</cdr:x>
      <cdr:y>0.1943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9F9B151-569C-4C0A-8582-2DCDBF57EEE1}"/>
            </a:ext>
          </a:extLst>
        </cdr:cNvPr>
        <cdr:cNvSpPr txBox="1"/>
      </cdr:nvSpPr>
      <cdr:spPr>
        <a:xfrm xmlns:a="http://schemas.openxmlformats.org/drawingml/2006/main">
          <a:off x="4679245" y="304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1"/>
              </a:solidFill>
            </a:rPr>
            <a:t>2.78%</a:t>
          </a:r>
        </a:p>
      </cdr:txBody>
    </cdr:sp>
  </cdr:relSizeAnchor>
  <cdr:relSizeAnchor xmlns:cdr="http://schemas.openxmlformats.org/drawingml/2006/chartDrawing">
    <cdr:from>
      <cdr:x>0.63196</cdr:x>
      <cdr:y>0.11604</cdr:y>
    </cdr:from>
    <cdr:to>
      <cdr:x>0.73761</cdr:x>
      <cdr:y>0.26177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157A406-02A3-4F59-A518-1CA32B0638B3}"/>
            </a:ext>
          </a:extLst>
        </cdr:cNvPr>
        <cdr:cNvSpPr txBox="1"/>
      </cdr:nvSpPr>
      <cdr:spPr>
        <a:xfrm xmlns:a="http://schemas.openxmlformats.org/drawingml/2006/main">
          <a:off x="5469466" y="72813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2"/>
              </a:solidFill>
            </a:rPr>
            <a:t>2.72%</a:t>
          </a:r>
        </a:p>
      </cdr:txBody>
    </cdr:sp>
  </cdr:relSizeAnchor>
  <cdr:relSizeAnchor xmlns:cdr="http://schemas.openxmlformats.org/drawingml/2006/chartDrawing">
    <cdr:from>
      <cdr:x>0.86457</cdr:x>
      <cdr:y>0.15202</cdr:y>
    </cdr:from>
    <cdr:to>
      <cdr:x>0.97022</cdr:x>
      <cdr:y>0.29775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157A406-02A3-4F59-A518-1CA32B0638B3}"/>
            </a:ext>
          </a:extLst>
        </cdr:cNvPr>
        <cdr:cNvSpPr txBox="1"/>
      </cdr:nvSpPr>
      <cdr:spPr>
        <a:xfrm xmlns:a="http://schemas.openxmlformats.org/drawingml/2006/main">
          <a:off x="7482652" y="95391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3"/>
              </a:solidFill>
            </a:rPr>
            <a:t>2.80%</a:t>
          </a:r>
        </a:p>
      </cdr:txBody>
    </cdr:sp>
  </cdr:relSizeAnchor>
  <cdr:relSizeAnchor xmlns:cdr="http://schemas.openxmlformats.org/drawingml/2006/chartDrawing">
    <cdr:from>
      <cdr:x>0.87543</cdr:x>
      <cdr:y>0.03058</cdr:y>
    </cdr:from>
    <cdr:to>
      <cdr:x>0.98109</cdr:x>
      <cdr:y>0.17631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157A406-02A3-4F59-A518-1CA32B0638B3}"/>
            </a:ext>
          </a:extLst>
        </cdr:cNvPr>
        <cdr:cNvSpPr txBox="1"/>
      </cdr:nvSpPr>
      <cdr:spPr>
        <a:xfrm xmlns:a="http://schemas.openxmlformats.org/drawingml/2006/main">
          <a:off x="7576726" y="19191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4"/>
              </a:solidFill>
            </a:rPr>
            <a:t>2.72%</a:t>
          </a:r>
        </a:p>
      </cdr:txBody>
    </cdr:sp>
  </cdr:relSizeAnchor>
  <cdr:relSizeAnchor xmlns:cdr="http://schemas.openxmlformats.org/drawingml/2006/chartDrawing">
    <cdr:from>
      <cdr:x>0.80261</cdr:x>
      <cdr:y>0.06057</cdr:y>
    </cdr:from>
    <cdr:to>
      <cdr:x>0.90826</cdr:x>
      <cdr:y>0.2063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157A406-02A3-4F59-A518-1CA32B0638B3}"/>
            </a:ext>
          </a:extLst>
        </cdr:cNvPr>
        <cdr:cNvSpPr txBox="1"/>
      </cdr:nvSpPr>
      <cdr:spPr>
        <a:xfrm xmlns:a="http://schemas.openxmlformats.org/drawingml/2006/main">
          <a:off x="6946429" y="38005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5"/>
              </a:solidFill>
            </a:rPr>
            <a:t>3.22%</a:t>
          </a:r>
        </a:p>
      </cdr:txBody>
    </cdr:sp>
  </cdr:relSizeAnchor>
  <cdr:relSizeAnchor xmlns:cdr="http://schemas.openxmlformats.org/drawingml/2006/chartDrawing">
    <cdr:from>
      <cdr:x>0.60913</cdr:x>
      <cdr:y>0.13853</cdr:y>
    </cdr:from>
    <cdr:to>
      <cdr:x>0.71478</cdr:x>
      <cdr:y>0.28426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9157A406-02A3-4F59-A518-1CA32B0638B3}"/>
            </a:ext>
          </a:extLst>
        </cdr:cNvPr>
        <cdr:cNvSpPr txBox="1"/>
      </cdr:nvSpPr>
      <cdr:spPr>
        <a:xfrm xmlns:a="http://schemas.openxmlformats.org/drawingml/2006/main">
          <a:off x="5271911" y="86924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6"/>
              </a:solidFill>
            </a:rPr>
            <a:t>2.78%</a:t>
          </a:r>
        </a:p>
      </cdr:txBody>
    </cdr:sp>
  </cdr:relSizeAnchor>
  <cdr:relSizeAnchor xmlns:cdr="http://schemas.openxmlformats.org/drawingml/2006/chartDrawing">
    <cdr:from>
      <cdr:x>0.55152</cdr:x>
      <cdr:y>0.14753</cdr:y>
    </cdr:from>
    <cdr:to>
      <cdr:x>0.65717</cdr:x>
      <cdr:y>0.29325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9157A406-02A3-4F59-A518-1CA32B0638B3}"/>
            </a:ext>
          </a:extLst>
        </cdr:cNvPr>
        <cdr:cNvSpPr txBox="1"/>
      </cdr:nvSpPr>
      <cdr:spPr>
        <a:xfrm xmlns:a="http://schemas.openxmlformats.org/drawingml/2006/main">
          <a:off x="4773319" y="9256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2"/>
              </a:solidFill>
            </a:rPr>
            <a:t>2.78%</a:t>
          </a:r>
        </a:p>
      </cdr:txBody>
    </cdr:sp>
  </cdr:relSizeAnchor>
  <cdr:relSizeAnchor xmlns:cdr="http://schemas.openxmlformats.org/drawingml/2006/chartDrawing">
    <cdr:from>
      <cdr:x>0.65804</cdr:x>
      <cdr:y>0.15052</cdr:y>
    </cdr:from>
    <cdr:to>
      <cdr:x>0.7637</cdr:x>
      <cdr:y>0.29625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9157A406-02A3-4F59-A518-1CA32B0638B3}"/>
            </a:ext>
          </a:extLst>
        </cdr:cNvPr>
        <cdr:cNvSpPr txBox="1"/>
      </cdr:nvSpPr>
      <cdr:spPr>
        <a:xfrm xmlns:a="http://schemas.openxmlformats.org/drawingml/2006/main">
          <a:off x="5695245" y="9445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C00000"/>
              </a:solidFill>
            </a:rPr>
            <a:t>2.44%</a:t>
          </a:r>
        </a:p>
      </cdr:txBody>
    </cdr:sp>
  </cdr:relSizeAnchor>
  <cdr:relSizeAnchor xmlns:cdr="http://schemas.openxmlformats.org/drawingml/2006/chartDrawing">
    <cdr:from>
      <cdr:x>0.71783</cdr:x>
      <cdr:y>0.15502</cdr:y>
    </cdr:from>
    <cdr:to>
      <cdr:x>0.82348</cdr:x>
      <cdr:y>0.30075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157A406-02A3-4F59-A518-1CA32B0638B3}"/>
            </a:ext>
          </a:extLst>
        </cdr:cNvPr>
        <cdr:cNvSpPr txBox="1"/>
      </cdr:nvSpPr>
      <cdr:spPr>
        <a:xfrm xmlns:a="http://schemas.openxmlformats.org/drawingml/2006/main">
          <a:off x="6212652" y="9727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3">
                  <a:lumMod val="75000"/>
                </a:schemeClr>
              </a:solidFill>
            </a:rPr>
            <a:t>2.72%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CF70CA-5881-43AD-95EC-8519D629AE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1397150</xdr:colOff>
      <xdr:row>9</xdr:row>
      <xdr:rowOff>687026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84D412-FA44-42F6-8959-A1D81F0FD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6920" cy="233294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"/>
  <sheetViews>
    <sheetView zoomScaleNormal="100" workbookViewId="0">
      <selection activeCell="N12" sqref="N12"/>
    </sheetView>
  </sheetViews>
  <sheetFormatPr defaultRowHeight="15" x14ac:dyDescent="0.25"/>
  <cols>
    <col min="1" max="1" width="11.140625" customWidth="1"/>
    <col min="2" max="2" width="11.28515625" customWidth="1"/>
    <col min="3" max="3" width="17.140625" customWidth="1"/>
    <col min="4" max="4" width="9.28515625" customWidth="1"/>
    <col min="5" max="5" width="7.7109375" customWidth="1"/>
    <col min="6" max="6" width="12.42578125" customWidth="1"/>
    <col min="7" max="7" width="10.7109375" customWidth="1"/>
    <col min="8" max="8" width="10.140625" customWidth="1"/>
    <col min="9" max="9" width="11.28515625" customWidth="1"/>
    <col min="11" max="11" width="11.7109375" customWidth="1"/>
    <col min="12" max="13" width="15.7109375" customWidth="1"/>
    <col min="15" max="15" width="9.7109375" customWidth="1"/>
  </cols>
  <sheetData>
    <row r="1" spans="1:13" s="1" customFormat="1" ht="45" x14ac:dyDescent="0.25">
      <c r="A1" s="4" t="s">
        <v>12</v>
      </c>
      <c r="B1" s="4" t="s">
        <v>0</v>
      </c>
      <c r="C1" s="4" t="s">
        <v>1</v>
      </c>
      <c r="D1" s="4" t="s">
        <v>6</v>
      </c>
      <c r="E1" s="4" t="s">
        <v>7</v>
      </c>
      <c r="F1" s="4" t="s">
        <v>8</v>
      </c>
      <c r="G1" s="4" t="s">
        <v>2</v>
      </c>
      <c r="H1" s="4" t="s">
        <v>4</v>
      </c>
      <c r="I1" s="4" t="s">
        <v>5</v>
      </c>
      <c r="K1" s="4" t="s">
        <v>12</v>
      </c>
      <c r="L1" s="4" t="s">
        <v>14</v>
      </c>
      <c r="M1" s="4" t="s">
        <v>13</v>
      </c>
    </row>
    <row r="2" spans="1:13" x14ac:dyDescent="0.25">
      <c r="A2" s="5">
        <v>1</v>
      </c>
      <c r="B2" s="68" t="s">
        <v>3</v>
      </c>
      <c r="C2" s="2" t="s">
        <v>10</v>
      </c>
      <c r="D2" s="68">
        <v>0.25</v>
      </c>
      <c r="E2" s="69">
        <v>4</v>
      </c>
      <c r="F2" s="69">
        <v>0.5</v>
      </c>
      <c r="G2" s="71">
        <v>4</v>
      </c>
      <c r="H2" s="70" t="s">
        <v>9</v>
      </c>
      <c r="I2" s="3">
        <v>10</v>
      </c>
      <c r="K2" s="5">
        <v>1</v>
      </c>
      <c r="L2" s="3">
        <v>0.05</v>
      </c>
      <c r="M2" s="3">
        <v>7.0000000000000007E-2</v>
      </c>
    </row>
    <row r="3" spans="1:13" x14ac:dyDescent="0.25">
      <c r="A3" s="5">
        <v>2</v>
      </c>
      <c r="B3" s="68"/>
      <c r="C3" s="2" t="s">
        <v>11</v>
      </c>
      <c r="D3" s="68"/>
      <c r="E3" s="69"/>
      <c r="F3" s="69"/>
      <c r="G3" s="71"/>
      <c r="H3" s="68"/>
      <c r="I3" s="3">
        <v>25</v>
      </c>
      <c r="K3" s="5">
        <v>2</v>
      </c>
      <c r="L3" s="3">
        <v>0.05</v>
      </c>
      <c r="M3" s="3">
        <v>0.05</v>
      </c>
    </row>
    <row r="4" spans="1:13" x14ac:dyDescent="0.25">
      <c r="A4" s="5">
        <v>3</v>
      </c>
      <c r="B4" s="68"/>
      <c r="C4" s="2" t="s">
        <v>10</v>
      </c>
      <c r="D4" s="68"/>
      <c r="E4" s="69"/>
      <c r="F4" s="69"/>
      <c r="G4" s="71">
        <v>1.2</v>
      </c>
      <c r="H4" s="68"/>
      <c r="I4" s="3">
        <v>10</v>
      </c>
      <c r="K4" s="5">
        <v>3</v>
      </c>
      <c r="L4" s="3">
        <v>0.05</v>
      </c>
      <c r="M4" s="3">
        <v>7.4999999999999997E-2</v>
      </c>
    </row>
    <row r="5" spans="1:13" x14ac:dyDescent="0.25">
      <c r="A5" s="5">
        <v>4</v>
      </c>
      <c r="B5" s="68"/>
      <c r="C5" s="2" t="s">
        <v>11</v>
      </c>
      <c r="D5" s="68"/>
      <c r="E5" s="69"/>
      <c r="F5" s="69"/>
      <c r="G5" s="71"/>
      <c r="H5" s="68"/>
      <c r="I5" s="3">
        <v>25</v>
      </c>
      <c r="K5" s="5">
        <v>4</v>
      </c>
      <c r="L5" s="3">
        <v>0.05</v>
      </c>
      <c r="M5" s="3">
        <v>0.06</v>
      </c>
    </row>
  </sheetData>
  <mergeCells count="7">
    <mergeCell ref="B2:B5"/>
    <mergeCell ref="F2:F5"/>
    <mergeCell ref="E2:E5"/>
    <mergeCell ref="D2:D5"/>
    <mergeCell ref="H2:H5"/>
    <mergeCell ref="G2:G3"/>
    <mergeCell ref="G4:G5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0:N36"/>
  <sheetViews>
    <sheetView zoomScale="70" zoomScaleNormal="70" workbookViewId="0">
      <selection activeCell="K11" sqref="K11:N14"/>
    </sheetView>
  </sheetViews>
  <sheetFormatPr defaultRowHeight="15" x14ac:dyDescent="0.25"/>
  <cols>
    <col min="1" max="1" width="13.140625" bestFit="1" customWidth="1"/>
    <col min="2" max="2" width="10.5703125" customWidth="1"/>
    <col min="8" max="8" width="21.140625" customWidth="1"/>
    <col min="11" max="11" width="14.85546875" bestFit="1" customWidth="1"/>
  </cols>
  <sheetData>
    <row r="10" spans="1:14" ht="46.9" customHeight="1" thickBot="1" x14ac:dyDescent="0.3"/>
    <row r="11" spans="1:14" ht="16.149999999999999" customHeight="1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91" t="s">
        <v>20</v>
      </c>
      <c r="I11" s="94" t="s">
        <v>25</v>
      </c>
      <c r="J11" s="97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80"/>
      <c r="G12" s="75" t="s">
        <v>19</v>
      </c>
      <c r="H12" s="92"/>
      <c r="I12" s="95"/>
      <c r="J12" s="98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78" t="s">
        <v>31</v>
      </c>
      <c r="F13" s="80"/>
      <c r="G13" s="76"/>
      <c r="H13" s="92"/>
      <c r="I13" s="95"/>
      <c r="J13" s="98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93"/>
      <c r="I14" s="96"/>
      <c r="J14" s="99"/>
      <c r="K14" s="90"/>
      <c r="L14" s="90"/>
      <c r="M14" s="90"/>
      <c r="N14" s="90"/>
    </row>
    <row r="15" spans="1:14" ht="16.5" thickBot="1" x14ac:dyDescent="0.3">
      <c r="A15" s="40">
        <v>0</v>
      </c>
      <c r="B15" s="40">
        <f>A15-16692</f>
        <v>-16692</v>
      </c>
      <c r="C15" s="29">
        <v>2.6375000000000003E-2</v>
      </c>
      <c r="D15" s="29"/>
      <c r="E15" s="29"/>
      <c r="F15" s="29"/>
      <c r="G15" s="29">
        <v>2.401660299382688E-2</v>
      </c>
      <c r="H15" s="29"/>
      <c r="I15" s="29">
        <f>G15/C15</f>
        <v>0.91058210403135076</v>
      </c>
      <c r="J15" s="29">
        <f>G15/0.255</f>
        <v>9.4182756838536788E-2</v>
      </c>
    </row>
    <row r="16" spans="1:14" ht="16.5" thickBot="1" x14ac:dyDescent="0.3">
      <c r="A16" s="40">
        <v>8676</v>
      </c>
      <c r="B16" s="40">
        <f t="shared" ref="B16:B36" si="0">A16-16692</f>
        <v>-8016</v>
      </c>
      <c r="C16" s="29">
        <v>4.1335600000000382E-2</v>
      </c>
      <c r="D16" s="29"/>
      <c r="E16" s="29"/>
      <c r="F16" s="29"/>
      <c r="G16" s="29">
        <v>3.8144016519607457E-2</v>
      </c>
      <c r="H16" s="29"/>
      <c r="I16" s="29">
        <f t="shared" ref="I16:I23" si="1">G16/C16</f>
        <v>0.92278850481442398</v>
      </c>
      <c r="J16" s="29">
        <f t="shared" ref="J16:J23" si="2">G16/0.255</f>
        <v>0.14958437850826453</v>
      </c>
    </row>
    <row r="17" spans="1:14" ht="16.5" thickBot="1" x14ac:dyDescent="0.3">
      <c r="A17" s="43">
        <f>A18-((A18-A16)*(C18-C17)/(C18-C16))</f>
        <v>16692.275590550867</v>
      </c>
      <c r="B17" s="43">
        <v>0</v>
      </c>
      <c r="C17" s="41">
        <v>0.05</v>
      </c>
      <c r="D17" s="41"/>
      <c r="E17" s="41"/>
      <c r="F17" s="41"/>
      <c r="G17" s="41">
        <f>C17*0.95</f>
        <v>4.7500000000000001E-2</v>
      </c>
      <c r="H17" s="41"/>
      <c r="I17" s="41">
        <f t="shared" si="1"/>
        <v>0.95</v>
      </c>
      <c r="J17" s="41">
        <f t="shared" si="2"/>
        <v>0.18627450980392157</v>
      </c>
    </row>
    <row r="18" spans="1:14" ht="16.5" thickBot="1" x14ac:dyDescent="0.3">
      <c r="A18" s="40">
        <v>24703</v>
      </c>
      <c r="B18" s="40">
        <f t="shared" si="0"/>
        <v>8011</v>
      </c>
      <c r="C18" s="29">
        <v>5.8658400000000298E-2</v>
      </c>
      <c r="D18" s="29"/>
      <c r="E18" s="29"/>
      <c r="F18" s="29"/>
      <c r="G18" s="29">
        <v>5.7216024779410679E-2</v>
      </c>
      <c r="H18" s="29"/>
      <c r="I18" s="29">
        <f t="shared" si="1"/>
        <v>0.97541059386908591</v>
      </c>
      <c r="J18" s="29">
        <f t="shared" si="2"/>
        <v>0.22437656776239481</v>
      </c>
      <c r="K18">
        <f t="shared" ref="K18:K26" si="3">(C18-C17)/(B18-B17)</f>
        <v>1.0808138809137805E-6</v>
      </c>
      <c r="L18">
        <f>(G18-G17)/(B18-B17)</f>
        <v>1.2128354486843938E-6</v>
      </c>
      <c r="M18" s="57">
        <f>AVERAGE(C17:C18)</f>
        <v>5.4329200000000147E-2</v>
      </c>
      <c r="N18" s="57">
        <f>AVERAGE(G17:G18)</f>
        <v>5.235801238970534E-2</v>
      </c>
    </row>
    <row r="19" spans="1:14" ht="16.5" thickBot="1" x14ac:dyDescent="0.3">
      <c r="A19" s="40">
        <v>50626</v>
      </c>
      <c r="B19" s="40">
        <f t="shared" si="0"/>
        <v>33934</v>
      </c>
      <c r="C19" s="29">
        <v>7.401270000000032E-2</v>
      </c>
      <c r="D19" s="29"/>
      <c r="E19" s="29"/>
      <c r="F19" s="29"/>
      <c r="G19" s="29">
        <v>7.1343438305191256E-2</v>
      </c>
      <c r="H19" s="29"/>
      <c r="I19" s="29">
        <f t="shared" si="1"/>
        <v>0.96393508553519802</v>
      </c>
      <c r="J19" s="29">
        <f t="shared" si="2"/>
        <v>0.27977818943212257</v>
      </c>
      <c r="K19">
        <f t="shared" si="3"/>
        <v>5.9230413146626631E-7</v>
      </c>
      <c r="L19">
        <f>(G19-G18)/(B19-B18)</f>
        <v>5.4497602614591586E-7</v>
      </c>
      <c r="M19" s="57">
        <f t="shared" ref="M19:M34" si="4">AVERAGE(C18:C19)</f>
        <v>6.6335550000000312E-2</v>
      </c>
      <c r="N19" s="57">
        <f t="shared" ref="N19:N23" si="5">AVERAGE(G18:G19)</f>
        <v>6.4279731542300961E-2</v>
      </c>
    </row>
    <row r="20" spans="1:14" ht="16.5" thickBot="1" x14ac:dyDescent="0.3">
      <c r="A20" s="40">
        <v>75486</v>
      </c>
      <c r="B20" s="40">
        <f t="shared" si="0"/>
        <v>58794</v>
      </c>
      <c r="C20" s="29">
        <v>8.8579599999999939E-2</v>
      </c>
      <c r="D20" s="29">
        <v>2.2440900000000014E-2</v>
      </c>
      <c r="E20" s="29"/>
      <c r="F20" s="29"/>
      <c r="G20" s="29">
        <v>9.4653670622728753E-2</v>
      </c>
      <c r="H20" s="29"/>
      <c r="I20" s="29">
        <f t="shared" si="1"/>
        <v>1.0685718903983403</v>
      </c>
      <c r="J20" s="29">
        <f t="shared" si="2"/>
        <v>0.37119086518717159</v>
      </c>
      <c r="K20">
        <f t="shared" si="3"/>
        <v>5.8595736122283266E-7</v>
      </c>
      <c r="L20">
        <f>(G20-G19)/(B20-B19)</f>
        <v>9.376601897641793E-7</v>
      </c>
      <c r="M20" s="57">
        <f t="shared" si="4"/>
        <v>8.1296150000000122E-2</v>
      </c>
      <c r="N20" s="57">
        <f t="shared" si="5"/>
        <v>8.2998554463960011E-2</v>
      </c>
    </row>
    <row r="21" spans="1:14" ht="16.5" thickBot="1" x14ac:dyDescent="0.3">
      <c r="A21" s="40">
        <v>120858</v>
      </c>
      <c r="B21" s="40">
        <f t="shared" si="0"/>
        <v>104166</v>
      </c>
      <c r="C21" s="29">
        <v>0.10747720000000009</v>
      </c>
      <c r="D21" s="29">
        <v>5.8661300000000083E-2</v>
      </c>
      <c r="E21" s="29"/>
      <c r="F21" s="29"/>
      <c r="G21" s="29">
        <v>0.12220212699800054</v>
      </c>
      <c r="H21" s="29"/>
      <c r="I21" s="29">
        <f t="shared" si="1"/>
        <v>1.1370051229284019</v>
      </c>
      <c r="J21" s="29">
        <f t="shared" si="2"/>
        <v>0.47922402744313936</v>
      </c>
      <c r="K21">
        <f t="shared" si="3"/>
        <v>4.1650357048400234E-7</v>
      </c>
      <c r="L21">
        <f>(G21-G20)/(B21-B20)</f>
        <v>6.0716865853988769E-7</v>
      </c>
      <c r="M21" s="57">
        <f t="shared" si="4"/>
        <v>9.8028400000000016E-2</v>
      </c>
      <c r="N21" s="57">
        <f>AVERAGE(G20:G21)</f>
        <v>0.10842789881036465</v>
      </c>
    </row>
    <row r="22" spans="1:14" ht="16.5" thickBot="1" x14ac:dyDescent="0.3">
      <c r="A22" s="40">
        <v>175914</v>
      </c>
      <c r="B22" s="40">
        <f t="shared" si="0"/>
        <v>159222</v>
      </c>
      <c r="C22" s="29">
        <v>0.12558739999999985</v>
      </c>
      <c r="D22" s="29">
        <v>7.9527400000000123E-2</v>
      </c>
      <c r="E22" s="29"/>
      <c r="F22" s="29"/>
      <c r="G22" s="29">
        <v>0.16670347960420839</v>
      </c>
      <c r="H22" s="29"/>
      <c r="I22" s="29">
        <f t="shared" si="1"/>
        <v>1.3273901649704396</v>
      </c>
      <c r="J22" s="29">
        <f t="shared" si="2"/>
        <v>0.65373913570277797</v>
      </c>
      <c r="K22">
        <f t="shared" si="3"/>
        <v>3.2894144144143701E-7</v>
      </c>
      <c r="L22">
        <f>(G22-G21)/(B22-B21)</f>
        <v>8.0829251319034906E-7</v>
      </c>
      <c r="M22" s="57">
        <f t="shared" si="4"/>
        <v>0.11653229999999998</v>
      </c>
      <c r="N22" s="57">
        <f t="shared" si="5"/>
        <v>0.14445280330110447</v>
      </c>
    </row>
    <row r="23" spans="1:14" ht="16.5" thickBot="1" x14ac:dyDescent="0.3">
      <c r="A23" s="40">
        <v>239461</v>
      </c>
      <c r="B23" s="40">
        <f t="shared" si="0"/>
        <v>222769</v>
      </c>
      <c r="C23" s="29">
        <v>0.144485</v>
      </c>
      <c r="D23" s="29">
        <v>9.7243899999999966E-2</v>
      </c>
      <c r="E23" s="29">
        <v>3.9370000000000002E-2</v>
      </c>
      <c r="F23" s="29">
        <v>3.2283400000000011E-2</v>
      </c>
      <c r="G23" s="29">
        <v>0.25</v>
      </c>
      <c r="H23" s="29"/>
      <c r="I23" s="29">
        <f t="shared" si="1"/>
        <v>1.7302834204242654</v>
      </c>
      <c r="J23" s="29">
        <f t="shared" si="2"/>
        <v>0.98039215686274506</v>
      </c>
      <c r="K23">
        <f t="shared" si="3"/>
        <v>2.9737989204840752E-7</v>
      </c>
      <c r="L23">
        <f t="shared" ref="L23" si="6">(G23-G22)/(B23-B22)</f>
        <v>1.3107860386138073E-6</v>
      </c>
      <c r="M23" s="57">
        <f t="shared" si="4"/>
        <v>0.13503619999999994</v>
      </c>
      <c r="N23" s="57">
        <f t="shared" si="5"/>
        <v>0.2083517398021042</v>
      </c>
    </row>
    <row r="24" spans="1:14" ht="16.5" thickBot="1" x14ac:dyDescent="0.3">
      <c r="A24" s="40">
        <v>283233</v>
      </c>
      <c r="B24" s="40">
        <f t="shared" si="0"/>
        <v>266541</v>
      </c>
      <c r="C24" s="29">
        <v>0.16180779999999992</v>
      </c>
      <c r="D24" s="29">
        <v>0.10708639999999996</v>
      </c>
      <c r="E24" s="29">
        <v>5.2362099999999939E-2</v>
      </c>
      <c r="F24" s="29">
        <v>4.7243999999999835E-2</v>
      </c>
      <c r="G24" s="29"/>
      <c r="H24" s="29"/>
      <c r="I24" s="29"/>
      <c r="J24" s="29"/>
      <c r="K24">
        <f t="shared" si="3"/>
        <v>3.9575070821529551E-7</v>
      </c>
      <c r="M24" s="57">
        <f t="shared" si="4"/>
        <v>0.15314639999999996</v>
      </c>
      <c r="N24" s="57"/>
    </row>
    <row r="25" spans="1:14" ht="16.5" thickBot="1" x14ac:dyDescent="0.3">
      <c r="A25" s="40">
        <v>345032</v>
      </c>
      <c r="B25" s="40">
        <f t="shared" si="0"/>
        <v>328340</v>
      </c>
      <c r="C25" s="29">
        <v>0.18464239999999985</v>
      </c>
      <c r="D25" s="29">
        <v>0.12007850000000017</v>
      </c>
      <c r="E25" s="29">
        <v>6.6929000000000113E-2</v>
      </c>
      <c r="F25" s="29">
        <v>6.4173100000000108E-2</v>
      </c>
      <c r="G25" s="29"/>
      <c r="H25" s="29"/>
      <c r="I25" s="29"/>
      <c r="J25" s="29"/>
      <c r="K25">
        <f t="shared" si="3"/>
        <v>3.6949788831534373E-7</v>
      </c>
      <c r="M25" s="57">
        <f t="shared" si="4"/>
        <v>0.17322509999999988</v>
      </c>
      <c r="N25" s="57"/>
    </row>
    <row r="26" spans="1:14" ht="16.5" thickBot="1" x14ac:dyDescent="0.3">
      <c r="A26" s="40">
        <v>385759</v>
      </c>
      <c r="B26" s="40">
        <f t="shared" si="0"/>
        <v>369067</v>
      </c>
      <c r="C26" s="29">
        <v>0.21495730000000027</v>
      </c>
      <c r="D26" s="29">
        <v>0.13070840000000003</v>
      </c>
      <c r="E26" s="29">
        <v>7.5984099999999999E-2</v>
      </c>
      <c r="F26" s="29">
        <v>7.4409300000000025E-2</v>
      </c>
      <c r="G26" s="29"/>
      <c r="H26" s="29"/>
      <c r="I26" s="29"/>
      <c r="J26" s="29"/>
      <c r="K26">
        <f t="shared" si="3"/>
        <v>7.4434404694675331E-7</v>
      </c>
      <c r="M26" s="57">
        <f t="shared" si="4"/>
        <v>0.19979985000000006</v>
      </c>
      <c r="N26" s="57"/>
    </row>
    <row r="27" spans="1:14" ht="16.5" thickBot="1" x14ac:dyDescent="0.3">
      <c r="A27" s="40">
        <v>404655</v>
      </c>
      <c r="B27" s="40">
        <f t="shared" si="0"/>
        <v>387963</v>
      </c>
      <c r="C27" s="29">
        <v>0.24369739999999987</v>
      </c>
      <c r="D27" s="29">
        <v>0.13936979999999999</v>
      </c>
      <c r="E27" s="29">
        <v>7.7558899999999958E-2</v>
      </c>
      <c r="F27" s="29">
        <v>7.7952599999999886E-2</v>
      </c>
      <c r="G27" s="29"/>
      <c r="H27" s="29"/>
      <c r="I27" s="29"/>
      <c r="J27" s="29"/>
      <c r="K27">
        <f t="shared" ref="K27:K34" si="7">(C27-C26)/(B27-B26)</f>
        <v>1.5209621083827055E-6</v>
      </c>
      <c r="M27" s="57">
        <f t="shared" si="4"/>
        <v>0.22932735000000007</v>
      </c>
      <c r="N27" s="57"/>
    </row>
    <row r="28" spans="1:14" ht="16.5" thickBot="1" x14ac:dyDescent="0.3">
      <c r="A28" s="40">
        <v>416561</v>
      </c>
      <c r="B28" s="40">
        <f t="shared" si="0"/>
        <v>399869</v>
      </c>
      <c r="C28" s="29">
        <v>0.27361860000000005</v>
      </c>
      <c r="D28" s="29">
        <v>0.14173200000000005</v>
      </c>
      <c r="E28" s="29">
        <v>7.7952600000000163E-2</v>
      </c>
      <c r="F28" s="29">
        <v>7.9133699999999932E-2</v>
      </c>
      <c r="G28" s="29"/>
      <c r="H28" s="29"/>
      <c r="I28" s="29"/>
      <c r="J28" s="29"/>
      <c r="K28">
        <f>(C28-C27)/(B28-B27)</f>
        <v>2.5131194355787145E-6</v>
      </c>
      <c r="M28" s="57">
        <f t="shared" si="4"/>
        <v>0.25865799999999994</v>
      </c>
      <c r="N28" s="57"/>
    </row>
    <row r="29" spans="1:14" ht="16.5" thickBot="1" x14ac:dyDescent="0.3">
      <c r="A29" s="40">
        <v>422656</v>
      </c>
      <c r="B29" s="40">
        <f t="shared" si="0"/>
        <v>405964</v>
      </c>
      <c r="C29" s="29">
        <v>0.31771300000000019</v>
      </c>
      <c r="D29" s="29">
        <v>0.14330680000000004</v>
      </c>
      <c r="E29" s="29">
        <v>7.7165200000000031E-2</v>
      </c>
      <c r="F29" s="29">
        <v>8.149590000000001E-2</v>
      </c>
      <c r="G29" s="29"/>
      <c r="H29" s="29"/>
      <c r="I29" s="29"/>
      <c r="J29" s="29"/>
      <c r="K29">
        <f t="shared" si="7"/>
        <v>7.2345200984413692E-6</v>
      </c>
      <c r="M29" s="57">
        <f t="shared" si="4"/>
        <v>0.29566580000000009</v>
      </c>
      <c r="N29" s="57"/>
    </row>
    <row r="30" spans="1:14" ht="16.5" thickBot="1" x14ac:dyDescent="0.3">
      <c r="A30" s="40">
        <v>425853</v>
      </c>
      <c r="B30" s="40">
        <f t="shared" si="0"/>
        <v>409161</v>
      </c>
      <c r="C30" s="29">
        <v>0.3633822000000001</v>
      </c>
      <c r="D30" s="29">
        <v>0.14606270000000005</v>
      </c>
      <c r="E30" s="29">
        <v>0</v>
      </c>
      <c r="F30" s="29">
        <v>8.2283300000000142E-2</v>
      </c>
      <c r="G30" s="29"/>
      <c r="H30" s="29"/>
      <c r="I30" s="29"/>
      <c r="J30" s="29"/>
      <c r="K30">
        <f t="shared" si="7"/>
        <v>1.4285017203628373E-5</v>
      </c>
      <c r="M30" s="57">
        <f t="shared" si="4"/>
        <v>0.34054760000000017</v>
      </c>
      <c r="N30" s="57"/>
    </row>
    <row r="31" spans="1:14" ht="16.5" thickBot="1" x14ac:dyDescent="0.3">
      <c r="A31" s="40">
        <v>428193</v>
      </c>
      <c r="B31" s="40">
        <f t="shared" si="0"/>
        <v>411501</v>
      </c>
      <c r="C31" s="29">
        <v>0.39802779999999993</v>
      </c>
      <c r="D31" s="29">
        <v>0.14842490000000014</v>
      </c>
      <c r="E31" s="29">
        <v>0</v>
      </c>
      <c r="F31" s="29">
        <v>0</v>
      </c>
      <c r="G31" s="29"/>
      <c r="H31" s="29"/>
      <c r="I31" s="29"/>
      <c r="J31" s="29"/>
      <c r="K31">
        <f t="shared" si="7"/>
        <v>1.4805811965811894E-5</v>
      </c>
      <c r="M31" s="57">
        <f t="shared" si="4"/>
        <v>0.38070500000000002</v>
      </c>
      <c r="N31" s="57"/>
    </row>
    <row r="32" spans="1:14" ht="16.5" thickBot="1" x14ac:dyDescent="0.3">
      <c r="A32" s="40">
        <v>430226</v>
      </c>
      <c r="B32" s="40">
        <f t="shared" si="0"/>
        <v>413534</v>
      </c>
      <c r="C32" s="29">
        <v>0.4401537000000002</v>
      </c>
      <c r="D32" s="29">
        <v>0.15039340000000001</v>
      </c>
      <c r="E32" s="29">
        <v>7.7952600000000163E-2</v>
      </c>
      <c r="F32" s="29">
        <v>8.4645499999999943E-2</v>
      </c>
      <c r="G32" s="29"/>
      <c r="H32" s="29"/>
      <c r="I32" s="29"/>
      <c r="J32" s="29"/>
      <c r="K32">
        <f t="shared" si="7"/>
        <v>2.0721052631579081E-5</v>
      </c>
      <c r="M32" s="57">
        <f t="shared" si="4"/>
        <v>0.41909075000000007</v>
      </c>
    </row>
    <row r="33" spans="1:13" ht="16.5" thickBot="1" x14ac:dyDescent="0.3">
      <c r="A33" s="40">
        <v>431873</v>
      </c>
      <c r="B33" s="40">
        <f t="shared" si="0"/>
        <v>415181</v>
      </c>
      <c r="C33" s="29">
        <v>0.48306700000000036</v>
      </c>
      <c r="D33" s="29">
        <v>0</v>
      </c>
      <c r="E33" s="29">
        <v>0</v>
      </c>
      <c r="F33" s="29">
        <v>0</v>
      </c>
      <c r="G33" s="29"/>
      <c r="H33" s="29"/>
      <c r="I33" s="29"/>
      <c r="J33" s="29"/>
      <c r="K33">
        <f t="shared" si="7"/>
        <v>2.6055434122647333E-5</v>
      </c>
      <c r="M33" s="57">
        <f t="shared" si="4"/>
        <v>0.46161035000000028</v>
      </c>
    </row>
    <row r="34" spans="1:13" ht="16.5" thickBot="1" x14ac:dyDescent="0.3">
      <c r="A34" s="40">
        <v>433698</v>
      </c>
      <c r="B34" s="40">
        <f t="shared" si="0"/>
        <v>417006</v>
      </c>
      <c r="C34" s="29">
        <v>0.54645270000000035</v>
      </c>
      <c r="D34" s="29">
        <v>0.15629889999999996</v>
      </c>
      <c r="E34" s="29">
        <v>9.8818699999999926E-2</v>
      </c>
      <c r="F34" s="29">
        <v>8.8976199999999922E-2</v>
      </c>
      <c r="G34" s="29"/>
      <c r="H34" s="29"/>
      <c r="I34" s="29"/>
      <c r="J34" s="29"/>
      <c r="K34">
        <f t="shared" si="7"/>
        <v>3.4731890410958896E-5</v>
      </c>
      <c r="M34" s="57">
        <f t="shared" si="4"/>
        <v>0.51475985000000035</v>
      </c>
    </row>
    <row r="35" spans="1:13" ht="16.5" thickBot="1" x14ac:dyDescent="0.3">
      <c r="A35" s="40">
        <v>435118</v>
      </c>
      <c r="B35" s="40">
        <f t="shared" si="0"/>
        <v>418426</v>
      </c>
      <c r="C35" s="29">
        <v>0.65550760000000019</v>
      </c>
      <c r="D35" s="29">
        <v>0.16181070000000028</v>
      </c>
      <c r="E35" s="29">
        <v>0.5988176999999999</v>
      </c>
      <c r="F35" s="29">
        <v>9.4094300000000033E-2</v>
      </c>
      <c r="G35" s="29"/>
      <c r="H35" s="29"/>
      <c r="I35" s="29"/>
      <c r="J35" s="29"/>
      <c r="K35">
        <f t="shared" ref="K35" si="8">(C35-C34)/(B35-B34)</f>
        <v>7.6799225352112562E-5</v>
      </c>
      <c r="M35" s="57">
        <f t="shared" ref="M35" si="9">AVERAGE(C34:C35)</f>
        <v>0.60098015000000027</v>
      </c>
    </row>
    <row r="36" spans="1:13" ht="16.5" thickBot="1" x14ac:dyDescent="0.3">
      <c r="A36" s="40">
        <v>436391</v>
      </c>
      <c r="B36" s="40">
        <f t="shared" si="0"/>
        <v>419699</v>
      </c>
      <c r="C36" s="29"/>
      <c r="D36" s="29"/>
      <c r="E36" s="29"/>
      <c r="F36" s="29"/>
      <c r="G36" s="29"/>
      <c r="H36" s="29"/>
      <c r="I36" s="29"/>
      <c r="J36" s="29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0:N35"/>
  <sheetViews>
    <sheetView zoomScale="70" zoomScaleNormal="70" workbookViewId="0">
      <selection activeCell="K11" sqref="K11:N14"/>
    </sheetView>
  </sheetViews>
  <sheetFormatPr defaultRowHeight="15" x14ac:dyDescent="0.25"/>
  <cols>
    <col min="1" max="1" width="13.140625" bestFit="1" customWidth="1"/>
    <col min="2" max="2" width="10.5703125" customWidth="1"/>
    <col min="8" max="8" width="21.140625" customWidth="1"/>
    <col min="11" max="11" width="13.5703125" bestFit="1" customWidth="1"/>
    <col min="12" max="12" width="14.85546875" bestFit="1" customWidth="1"/>
  </cols>
  <sheetData>
    <row r="10" spans="1:14" ht="53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90" t="s">
        <v>25</v>
      </c>
      <c r="J11" s="90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90"/>
      <c r="J12" s="90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90"/>
      <c r="J13" s="90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90"/>
      <c r="J14" s="90"/>
      <c r="K14" s="90"/>
      <c r="L14" s="90"/>
      <c r="M14" s="90"/>
      <c r="N14" s="90"/>
    </row>
    <row r="15" spans="1:14" ht="16.5" thickBot="1" x14ac:dyDescent="0.3">
      <c r="A15" s="40">
        <v>0</v>
      </c>
      <c r="B15" s="40">
        <f>A15-26441</f>
        <v>-26441</v>
      </c>
      <c r="C15" s="29">
        <v>1.9685000000000001E-2</v>
      </c>
      <c r="D15" s="29"/>
      <c r="E15" s="29"/>
      <c r="F15" s="29"/>
      <c r="G15" s="29">
        <v>1.653582351260317E-2</v>
      </c>
      <c r="H15" s="29"/>
      <c r="I15" s="29">
        <f>G15/C15</f>
        <v>0.84002151448326989</v>
      </c>
      <c r="J15" s="29">
        <f>G15/0.255</f>
        <v>6.4846366716090856E-2</v>
      </c>
    </row>
    <row r="16" spans="1:14" ht="16.5" thickBot="1" x14ac:dyDescent="0.3">
      <c r="A16" s="40">
        <v>7439</v>
      </c>
      <c r="B16" s="40">
        <f t="shared" ref="B16:B35" si="0">A16-26441</f>
        <v>-19002</v>
      </c>
      <c r="C16" s="29">
        <v>3.6614100000000267E-2</v>
      </c>
      <c r="D16" s="29"/>
      <c r="E16" s="29"/>
      <c r="F16" s="29"/>
      <c r="G16" s="29">
        <v>3.1331034023880017E-2</v>
      </c>
      <c r="H16" s="29"/>
      <c r="I16" s="29">
        <f t="shared" ref="I16:I22" si="1">G16/C16</f>
        <v>0.85570952239382614</v>
      </c>
      <c r="J16" s="29">
        <f t="shared" ref="J16:J22" si="2">G16/0.255</f>
        <v>0.12286680009364712</v>
      </c>
    </row>
    <row r="17" spans="1:14" ht="16.5" thickBot="1" x14ac:dyDescent="0.3">
      <c r="A17" s="43">
        <f>A18-((A18-A16)*(C18-C17)/(C18-C16))</f>
        <v>26441.09433699838</v>
      </c>
      <c r="B17" s="43">
        <v>0</v>
      </c>
      <c r="C17" s="41">
        <v>0.05</v>
      </c>
      <c r="D17" s="41"/>
      <c r="E17" s="41"/>
      <c r="F17" s="41"/>
      <c r="G17" s="41">
        <f>C17*0.9</f>
        <v>4.5000000000000005E-2</v>
      </c>
      <c r="H17" s="41"/>
      <c r="I17" s="41">
        <f t="shared" si="1"/>
        <v>0.9</v>
      </c>
      <c r="J17" s="41">
        <f t="shared" si="2"/>
        <v>0.17647058823529413</v>
      </c>
    </row>
    <row r="18" spans="1:14" ht="16.5" thickBot="1" x14ac:dyDescent="0.3">
      <c r="A18" s="40">
        <v>30912</v>
      </c>
      <c r="B18" s="40">
        <f t="shared" si="0"/>
        <v>4471</v>
      </c>
      <c r="C18" s="29">
        <v>5.314949999999978E-2</v>
      </c>
      <c r="D18" s="29"/>
      <c r="E18" s="29"/>
      <c r="F18" s="29"/>
      <c r="G18" s="29">
        <v>4.8737164037146972E-2</v>
      </c>
      <c r="H18" s="29"/>
      <c r="I18" s="29">
        <f t="shared" si="1"/>
        <v>0.91698254992327632</v>
      </c>
      <c r="J18" s="29">
        <f t="shared" si="2"/>
        <v>0.19112613347900773</v>
      </c>
      <c r="K18">
        <f t="shared" ref="K18:K26" si="3">(C18-C17)/(B18-B17)</f>
        <v>7.0442853947657743E-7</v>
      </c>
      <c r="L18">
        <f>(G18-G17)/(B18-B17)</f>
        <v>8.3586759945134585E-7</v>
      </c>
      <c r="M18" s="57">
        <f>AVERAGE(C17:C18)</f>
        <v>5.1574749999999892E-2</v>
      </c>
      <c r="N18" s="57">
        <f>AVERAGE(G17:G18)</f>
        <v>4.6868582018573489E-2</v>
      </c>
    </row>
    <row r="19" spans="1:14" ht="16.5" thickBot="1" x14ac:dyDescent="0.3">
      <c r="A19" s="40">
        <v>53906</v>
      </c>
      <c r="B19" s="40">
        <f t="shared" si="0"/>
        <v>27465</v>
      </c>
      <c r="C19" s="29">
        <v>7.1653400000000297E-2</v>
      </c>
      <c r="D19" s="29"/>
      <c r="E19" s="29"/>
      <c r="F19" s="29"/>
      <c r="G19" s="29">
        <v>8.3549424063680253E-2</v>
      </c>
      <c r="H19" s="29"/>
      <c r="I19" s="29">
        <f t="shared" si="1"/>
        <v>1.166021766778407</v>
      </c>
      <c r="J19" s="29">
        <f t="shared" si="2"/>
        <v>0.32764480024972648</v>
      </c>
      <c r="K19">
        <f t="shared" si="3"/>
        <v>8.047273201705017E-7</v>
      </c>
      <c r="L19">
        <f>(G19-G18)/(B19-B18)</f>
        <v>1.5139714719723964E-6</v>
      </c>
      <c r="M19" s="57">
        <f t="shared" ref="M19:M33" si="4">AVERAGE(C18:C19)</f>
        <v>6.2401450000000039E-2</v>
      </c>
      <c r="N19" s="57">
        <f t="shared" ref="N19:N22" si="5">AVERAGE(G18:G19)</f>
        <v>6.6143294050413609E-2</v>
      </c>
    </row>
    <row r="20" spans="1:14" ht="16.5" thickBot="1" x14ac:dyDescent="0.3">
      <c r="A20" s="40">
        <v>103739</v>
      </c>
      <c r="B20" s="40">
        <f t="shared" si="0"/>
        <v>77298</v>
      </c>
      <c r="C20" s="29">
        <v>9.2519500000000338E-2</v>
      </c>
      <c r="D20" s="29">
        <v>2.6377899999999788E-2</v>
      </c>
      <c r="E20" s="29"/>
      <c r="F20" s="29"/>
      <c r="G20" s="29">
        <v>0.111399232084907</v>
      </c>
      <c r="H20" s="29"/>
      <c r="I20" s="29">
        <f t="shared" si="1"/>
        <v>1.204062193212313</v>
      </c>
      <c r="J20" s="29">
        <f t="shared" si="2"/>
        <v>0.43685973366630193</v>
      </c>
      <c r="K20">
        <f t="shared" si="3"/>
        <v>4.1872052655870688E-7</v>
      </c>
      <c r="L20">
        <f>(G20-G19)/(B20-B19)</f>
        <v>5.5886276204978116E-7</v>
      </c>
      <c r="M20" s="57">
        <f t="shared" si="4"/>
        <v>8.2086450000000311E-2</v>
      </c>
      <c r="N20" s="57">
        <f t="shared" si="5"/>
        <v>9.7474328074293626E-2</v>
      </c>
    </row>
    <row r="21" spans="1:14" ht="16.5" thickBot="1" x14ac:dyDescent="0.3">
      <c r="A21" s="40">
        <v>172451</v>
      </c>
      <c r="B21" s="40">
        <f t="shared" si="0"/>
        <v>146010</v>
      </c>
      <c r="C21" s="29">
        <v>0.11299190000000019</v>
      </c>
      <c r="D21" s="29">
        <v>7.401559999999982E-2</v>
      </c>
      <c r="E21" s="29"/>
      <c r="F21" s="29"/>
      <c r="G21" s="29">
        <v>0.23150152917644748</v>
      </c>
      <c r="H21" s="29"/>
      <c r="I21" s="29">
        <f t="shared" si="1"/>
        <v>2.0488329621543411</v>
      </c>
      <c r="J21" s="29">
        <f t="shared" si="2"/>
        <v>0.90784913402528422</v>
      </c>
      <c r="K21">
        <f t="shared" si="3"/>
        <v>2.9794504598905355E-7</v>
      </c>
      <c r="L21">
        <f>(G21-G20)/(B21-B20)</f>
        <v>1.7479086199141413E-6</v>
      </c>
      <c r="M21" s="57">
        <f t="shared" si="4"/>
        <v>0.10275570000000026</v>
      </c>
      <c r="N21" s="57">
        <f>AVERAGE(G20:G21)</f>
        <v>0.17145038063067725</v>
      </c>
    </row>
    <row r="22" spans="1:14" ht="16.5" thickBot="1" x14ac:dyDescent="0.3">
      <c r="A22" s="40">
        <v>238229</v>
      </c>
      <c r="B22" s="40">
        <f t="shared" si="0"/>
        <v>211788</v>
      </c>
      <c r="C22" s="29">
        <v>0.13070840000000031</v>
      </c>
      <c r="D22" s="29">
        <v>9.4881700000000152E-2</v>
      </c>
      <c r="E22" s="29">
        <v>4.1732200000000094E-2</v>
      </c>
      <c r="F22" s="29">
        <v>4.1338500000000167E-2</v>
      </c>
      <c r="G22" s="29">
        <v>0.25</v>
      </c>
      <c r="H22" s="29"/>
      <c r="I22" s="29">
        <f t="shared" si="1"/>
        <v>1.9126544277184896</v>
      </c>
      <c r="J22" s="29">
        <f t="shared" si="2"/>
        <v>0.98039215686274506</v>
      </c>
      <c r="K22">
        <f t="shared" si="3"/>
        <v>2.6933777250752713E-7</v>
      </c>
      <c r="L22">
        <f>(G22-G21)/(B22-B21)</f>
        <v>2.8122580229791907E-7</v>
      </c>
      <c r="M22" s="57">
        <f t="shared" si="4"/>
        <v>0.12185015000000024</v>
      </c>
      <c r="N22" s="57">
        <f t="shared" si="5"/>
        <v>0.24075076458822375</v>
      </c>
    </row>
    <row r="23" spans="1:14" ht="16.5" thickBot="1" x14ac:dyDescent="0.3">
      <c r="A23" s="40">
        <v>299644</v>
      </c>
      <c r="B23" s="40">
        <f t="shared" si="0"/>
        <v>273203</v>
      </c>
      <c r="C23" s="29">
        <v>0.15354300000000023</v>
      </c>
      <c r="D23" s="29">
        <v>0.11181080000000014</v>
      </c>
      <c r="E23" s="29">
        <v>5.1180999999999893E-2</v>
      </c>
      <c r="F23" s="29">
        <v>4.8818800000000079E-2</v>
      </c>
      <c r="G23" s="29"/>
      <c r="H23" s="29"/>
      <c r="I23" s="29"/>
      <c r="J23" s="29"/>
      <c r="K23">
        <f t="shared" si="3"/>
        <v>3.7180819018155054E-7</v>
      </c>
      <c r="M23" s="57">
        <f t="shared" si="4"/>
        <v>0.14212570000000027</v>
      </c>
      <c r="N23" s="57"/>
    </row>
    <row r="24" spans="1:14" ht="16.5" thickBot="1" x14ac:dyDescent="0.3">
      <c r="A24" s="40">
        <v>365319</v>
      </c>
      <c r="B24" s="40">
        <f t="shared" si="0"/>
        <v>338878</v>
      </c>
      <c r="C24" s="29">
        <v>0.17480279999999992</v>
      </c>
      <c r="D24" s="29">
        <v>0.1279525</v>
      </c>
      <c r="E24" s="29">
        <v>6.4960500000000226E-2</v>
      </c>
      <c r="F24" s="29">
        <v>5.4724300000000024E-2</v>
      </c>
      <c r="G24" s="29"/>
      <c r="H24" s="29"/>
      <c r="I24" s="29"/>
      <c r="J24" s="29"/>
      <c r="K24">
        <f t="shared" si="3"/>
        <v>3.2371221926151034E-7</v>
      </c>
      <c r="M24" s="57">
        <f t="shared" si="4"/>
        <v>0.16417290000000007</v>
      </c>
      <c r="N24" s="57"/>
    </row>
    <row r="25" spans="1:14" ht="16.5" thickBot="1" x14ac:dyDescent="0.3">
      <c r="A25" s="40">
        <v>407050</v>
      </c>
      <c r="B25" s="40">
        <f t="shared" si="0"/>
        <v>380609</v>
      </c>
      <c r="C25" s="29">
        <v>0.19881850000000045</v>
      </c>
      <c r="D25" s="29">
        <v>0.14055090000000001</v>
      </c>
      <c r="E25" s="29">
        <v>6.8110099999999882E-2</v>
      </c>
      <c r="F25" s="29">
        <v>5.9448699999999924E-2</v>
      </c>
      <c r="G25" s="29"/>
      <c r="H25" s="29"/>
      <c r="I25" s="29"/>
      <c r="J25" s="29"/>
      <c r="K25">
        <f t="shared" si="3"/>
        <v>5.7548824614796021E-7</v>
      </c>
      <c r="M25" s="57">
        <f t="shared" si="4"/>
        <v>0.18681065000000019</v>
      </c>
      <c r="N25" s="57"/>
    </row>
    <row r="26" spans="1:14" ht="16.5" thickBot="1" x14ac:dyDescent="0.3">
      <c r="A26" s="40">
        <v>427267</v>
      </c>
      <c r="B26" s="40">
        <f t="shared" si="0"/>
        <v>400826</v>
      </c>
      <c r="C26" s="29">
        <v>0.21614129999999981</v>
      </c>
      <c r="D26" s="29">
        <v>0.14330680000000004</v>
      </c>
      <c r="E26" s="29">
        <v>7.1259699999999815E-2</v>
      </c>
      <c r="F26" s="29">
        <v>6.2204599999999936E-2</v>
      </c>
      <c r="G26" s="29"/>
      <c r="H26" s="29"/>
      <c r="I26" s="29"/>
      <c r="J26" s="29"/>
      <c r="K26">
        <f t="shared" si="3"/>
        <v>8.5684325072955241E-7</v>
      </c>
      <c r="M26" s="57">
        <f t="shared" si="4"/>
        <v>0.20747990000000013</v>
      </c>
      <c r="N26" s="57"/>
    </row>
    <row r="27" spans="1:14" ht="16.5" thickBot="1" x14ac:dyDescent="0.3">
      <c r="A27" s="40">
        <v>458852</v>
      </c>
      <c r="B27" s="40">
        <f t="shared" si="0"/>
        <v>432411</v>
      </c>
      <c r="C27" s="29">
        <v>0.25236169999999986</v>
      </c>
      <c r="D27" s="29">
        <v>0.15629889999999996</v>
      </c>
      <c r="E27" s="29">
        <v>7.7558899999999958E-2</v>
      </c>
      <c r="F27" s="29">
        <v>6.2598300000000134E-2</v>
      </c>
      <c r="G27" s="29"/>
      <c r="H27" s="29"/>
      <c r="I27" s="29"/>
      <c r="J27" s="29"/>
      <c r="K27">
        <f t="shared" ref="K27:K33" si="6">(C27-C26)/(B27-B26)</f>
        <v>1.1467595377552648E-6</v>
      </c>
      <c r="M27" s="57">
        <f t="shared" si="4"/>
        <v>0.23425149999999983</v>
      </c>
      <c r="N27" s="57"/>
    </row>
    <row r="28" spans="1:14" ht="16.5" thickBot="1" x14ac:dyDescent="0.3">
      <c r="A28" s="40">
        <v>467833</v>
      </c>
      <c r="B28" s="40">
        <f t="shared" si="0"/>
        <v>441392</v>
      </c>
      <c r="C28" s="29">
        <v>0.28070809999999985</v>
      </c>
      <c r="D28" s="29">
        <v>0.16141700000000006</v>
      </c>
      <c r="E28" s="29">
        <v>0</v>
      </c>
      <c r="F28" s="29">
        <v>0</v>
      </c>
      <c r="G28" s="29"/>
      <c r="H28" s="29"/>
      <c r="I28" s="29"/>
      <c r="J28" s="29"/>
      <c r="K28">
        <f>(C28-C27)/(B28-B27)</f>
        <v>3.1562632223583114E-6</v>
      </c>
      <c r="M28" s="57">
        <f t="shared" si="4"/>
        <v>0.26653489999999985</v>
      </c>
      <c r="N28" s="57"/>
    </row>
    <row r="29" spans="1:14" ht="16.5" thickBot="1" x14ac:dyDescent="0.3">
      <c r="A29" s="40">
        <v>475218</v>
      </c>
      <c r="B29" s="40">
        <f t="shared" si="0"/>
        <v>448777</v>
      </c>
      <c r="C29" s="29">
        <v>0.31338519999999975</v>
      </c>
      <c r="D29" s="29">
        <v>0.16181069999999997</v>
      </c>
      <c r="E29" s="29">
        <v>0</v>
      </c>
      <c r="F29" s="29">
        <v>0</v>
      </c>
      <c r="G29" s="29"/>
      <c r="H29" s="29"/>
      <c r="I29" s="29"/>
      <c r="J29" s="29"/>
      <c r="K29">
        <f t="shared" si="6"/>
        <v>4.4247935003385109E-6</v>
      </c>
      <c r="M29" s="57">
        <f t="shared" si="4"/>
        <v>0.2970466499999998</v>
      </c>
      <c r="N29" s="57"/>
    </row>
    <row r="30" spans="1:14" ht="16.5" thickBot="1" x14ac:dyDescent="0.3">
      <c r="A30" s="40">
        <v>480319</v>
      </c>
      <c r="B30" s="40">
        <f t="shared" si="0"/>
        <v>453878</v>
      </c>
      <c r="C30" s="29">
        <v>0.36181029999999992</v>
      </c>
      <c r="D30" s="29">
        <v>0.16377920000000015</v>
      </c>
      <c r="E30" s="29">
        <v>0</v>
      </c>
      <c r="F30" s="29">
        <v>6.3385699999999975E-2</v>
      </c>
      <c r="G30" s="29"/>
      <c r="H30" s="29"/>
      <c r="I30" s="29"/>
      <c r="J30" s="29"/>
      <c r="K30">
        <f t="shared" si="6"/>
        <v>9.4932562242697832E-6</v>
      </c>
      <c r="M30" s="57">
        <f t="shared" si="4"/>
        <v>0.33759774999999981</v>
      </c>
      <c r="N30" s="57"/>
    </row>
    <row r="31" spans="1:14" ht="16.5" thickBot="1" x14ac:dyDescent="0.3">
      <c r="A31" s="40">
        <v>483854</v>
      </c>
      <c r="B31" s="40">
        <f t="shared" si="0"/>
        <v>457413</v>
      </c>
      <c r="C31" s="29">
        <v>0.40905430000000004</v>
      </c>
      <c r="D31" s="29">
        <v>0.16653510000000016</v>
      </c>
      <c r="E31" s="29">
        <v>0</v>
      </c>
      <c r="F31" s="29">
        <v>0</v>
      </c>
      <c r="G31" s="29"/>
      <c r="H31" s="29"/>
      <c r="I31" s="29"/>
      <c r="J31" s="29"/>
      <c r="K31">
        <f t="shared" si="6"/>
        <v>1.3364639321074999E-5</v>
      </c>
      <c r="M31" s="57">
        <f t="shared" si="4"/>
        <v>0.38543229999999995</v>
      </c>
      <c r="N31" s="57"/>
    </row>
    <row r="32" spans="1:14" ht="16.5" thickBot="1" x14ac:dyDescent="0.3">
      <c r="A32" s="40">
        <v>486465</v>
      </c>
      <c r="B32" s="40">
        <f t="shared" si="0"/>
        <v>460024</v>
      </c>
      <c r="C32" s="29">
        <v>0.45708569999999998</v>
      </c>
      <c r="D32" s="29">
        <v>0.17244059999999983</v>
      </c>
      <c r="E32" s="29">
        <v>0</v>
      </c>
      <c r="F32" s="29">
        <v>0</v>
      </c>
      <c r="G32" s="29"/>
      <c r="H32" s="29"/>
      <c r="I32" s="29"/>
      <c r="J32" s="29"/>
      <c r="K32">
        <f t="shared" si="6"/>
        <v>1.8395787054768268E-5</v>
      </c>
      <c r="M32" s="57">
        <f t="shared" si="4"/>
        <v>0.43307000000000001</v>
      </c>
    </row>
    <row r="33" spans="1:13" ht="16.5" thickBot="1" x14ac:dyDescent="0.3">
      <c r="A33" s="40">
        <v>488481</v>
      </c>
      <c r="B33" s="40">
        <f t="shared" si="0"/>
        <v>462040</v>
      </c>
      <c r="C33" s="29">
        <v>0.50984150000000017</v>
      </c>
      <c r="D33" s="29">
        <v>0</v>
      </c>
      <c r="E33" s="29">
        <v>8.3858099999999824E-2</v>
      </c>
      <c r="F33" s="29">
        <v>0</v>
      </c>
      <c r="G33" s="29"/>
      <c r="H33" s="29"/>
      <c r="I33" s="29"/>
      <c r="J33" s="29"/>
      <c r="K33">
        <f t="shared" si="6"/>
        <v>2.616855158730168E-5</v>
      </c>
      <c r="M33" s="57">
        <f t="shared" si="4"/>
        <v>0.4834636000000001</v>
      </c>
    </row>
    <row r="34" spans="1:13" ht="16.5" thickBot="1" x14ac:dyDescent="0.3">
      <c r="A34" s="40">
        <v>489605</v>
      </c>
      <c r="B34" s="40">
        <f t="shared" si="0"/>
        <v>463164</v>
      </c>
      <c r="C34" s="29">
        <v>0.55708549999999968</v>
      </c>
      <c r="D34" s="29">
        <v>0.17559020000000003</v>
      </c>
      <c r="E34" s="29">
        <v>9.7637600000000158E-2</v>
      </c>
      <c r="F34" s="29">
        <v>6.6929000000000113E-2</v>
      </c>
      <c r="G34" s="29"/>
      <c r="H34" s="29"/>
      <c r="I34" s="29"/>
      <c r="J34" s="29"/>
      <c r="K34">
        <f>(C34-C33)/(B34-B33)</f>
        <v>4.2032028469750456E-5</v>
      </c>
      <c r="M34" s="57">
        <f>AVERAGE(C33:C34)</f>
        <v>0.53346349999999987</v>
      </c>
    </row>
    <row r="35" spans="1:13" ht="16.5" thickBot="1" x14ac:dyDescent="0.3">
      <c r="A35" s="40">
        <v>490705</v>
      </c>
      <c r="B35" s="40">
        <f t="shared" si="0"/>
        <v>464264</v>
      </c>
      <c r="C35" s="29">
        <v>0.64803019999999978</v>
      </c>
      <c r="D35" s="29">
        <v>0.18070829999999988</v>
      </c>
      <c r="E35" s="29">
        <v>0.62047120000000011</v>
      </c>
      <c r="F35" s="29">
        <v>0</v>
      </c>
      <c r="G35" s="29"/>
      <c r="H35" s="29"/>
      <c r="I35" s="29"/>
      <c r="J35" s="29"/>
      <c r="M35" s="57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0:N37"/>
  <sheetViews>
    <sheetView zoomScale="70" zoomScaleNormal="70" workbookViewId="0">
      <selection activeCell="K11" sqref="K11:N14"/>
    </sheetView>
  </sheetViews>
  <sheetFormatPr defaultRowHeight="15" x14ac:dyDescent="0.25"/>
  <cols>
    <col min="1" max="1" width="13.140625" bestFit="1" customWidth="1"/>
    <col min="2" max="2" width="10.5703125" customWidth="1"/>
    <col min="8" max="8" width="21.140625" customWidth="1"/>
  </cols>
  <sheetData>
    <row r="10" spans="1:14" ht="52.9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90" t="s">
        <v>25</v>
      </c>
      <c r="J11" s="90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90"/>
      <c r="J12" s="90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90"/>
      <c r="J13" s="90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90"/>
      <c r="J14" s="90"/>
      <c r="K14" s="90"/>
      <c r="L14" s="90"/>
      <c r="M14" s="90"/>
      <c r="N14" s="90"/>
    </row>
    <row r="15" spans="1:14" ht="16.5" thickBot="1" x14ac:dyDescent="0.3">
      <c r="A15" s="40">
        <v>0</v>
      </c>
      <c r="B15" s="40">
        <f>A15-13895</f>
        <v>-13895</v>
      </c>
      <c r="C15" s="29">
        <v>2.7557600000000154E-2</v>
      </c>
      <c r="D15" s="29"/>
      <c r="E15" s="29"/>
      <c r="F15" s="29"/>
      <c r="G15" s="29">
        <v>2.0713434988384849E-2</v>
      </c>
      <c r="H15" s="29"/>
      <c r="I15" s="29">
        <f>G15/C15</f>
        <v>0.75164147053389019</v>
      </c>
      <c r="J15" s="29">
        <f>G15/0.253</f>
        <v>8.1871284539070555E-2</v>
      </c>
    </row>
    <row r="16" spans="1:14" ht="16.5" thickBot="1" x14ac:dyDescent="0.3">
      <c r="A16" s="40">
        <v>8496</v>
      </c>
      <c r="B16" s="40">
        <f t="shared" ref="B16:B37" si="0">A16-13895</f>
        <v>-5399</v>
      </c>
      <c r="C16" s="29">
        <v>4.3305600000000381E-2</v>
      </c>
      <c r="D16" s="29"/>
      <c r="E16" s="29"/>
      <c r="F16" s="29"/>
      <c r="G16" s="29">
        <v>4.2906401047370493E-2</v>
      </c>
      <c r="H16" s="29"/>
      <c r="I16" s="29">
        <f t="shared" ref="I16:I22" si="1">G16/C16</f>
        <v>0.99078181684054989</v>
      </c>
      <c r="J16" s="29">
        <f t="shared" ref="J16:J22" si="2">G16/0.253</f>
        <v>0.1695905179737964</v>
      </c>
    </row>
    <row r="17" spans="1:14" ht="16.5" thickBot="1" x14ac:dyDescent="0.3">
      <c r="A17" s="43">
        <f>A18-((A18-A16)*(C18-C17)/(C18-C16))</f>
        <v>13894.96731090404</v>
      </c>
      <c r="B17" s="43">
        <v>0</v>
      </c>
      <c r="C17" s="41">
        <v>0.05</v>
      </c>
      <c r="D17" s="41"/>
      <c r="E17" s="41"/>
      <c r="F17" s="41"/>
      <c r="G17" s="41">
        <f>C17*0.97</f>
        <v>4.8500000000000001E-2</v>
      </c>
      <c r="H17" s="41"/>
      <c r="I17" s="41">
        <f t="shared" si="1"/>
        <v>0.97</v>
      </c>
      <c r="J17" s="41">
        <f t="shared" si="2"/>
        <v>0.19169960474308301</v>
      </c>
    </row>
    <row r="18" spans="1:14" ht="16.5" thickBot="1" x14ac:dyDescent="0.3">
      <c r="A18" s="40">
        <v>18974</v>
      </c>
      <c r="B18" s="40">
        <f t="shared" si="0"/>
        <v>5079</v>
      </c>
      <c r="C18" s="29">
        <v>5.6297700000000318E-2</v>
      </c>
      <c r="D18" s="29"/>
      <c r="E18" s="29"/>
      <c r="F18" s="29"/>
      <c r="G18" s="29">
        <v>5.4002884076863308E-2</v>
      </c>
      <c r="H18" s="29"/>
      <c r="I18" s="29">
        <f t="shared" si="1"/>
        <v>0.95923783879027036</v>
      </c>
      <c r="J18" s="29">
        <f t="shared" si="2"/>
        <v>0.21345013469115931</v>
      </c>
      <c r="K18">
        <f t="shared" ref="K18:K26" si="3">(C18-C17)/(B18-B17)</f>
        <v>1.2399488088206962E-6</v>
      </c>
      <c r="L18">
        <f>(G18-G17)/(B18-B17)</f>
        <v>1.0834581761888771E-6</v>
      </c>
      <c r="M18" s="57">
        <f>AVERAGE(C17:C18)</f>
        <v>5.3148850000000164E-2</v>
      </c>
      <c r="N18" s="57">
        <f>AVERAGE(G17:G18)</f>
        <v>5.1251442038431655E-2</v>
      </c>
    </row>
    <row r="19" spans="1:14" ht="16.5" thickBot="1" x14ac:dyDescent="0.3">
      <c r="A19" s="40">
        <v>42987</v>
      </c>
      <c r="B19" s="40">
        <f t="shared" si="0"/>
        <v>29092</v>
      </c>
      <c r="C19" s="29">
        <v>7.3620500000000227E-2</v>
      </c>
      <c r="D19" s="29"/>
      <c r="E19" s="29"/>
      <c r="F19" s="29"/>
      <c r="G19" s="29">
        <v>8.2113974418243724E-2</v>
      </c>
      <c r="H19" s="29"/>
      <c r="I19" s="29">
        <f t="shared" si="1"/>
        <v>1.1153683337962044</v>
      </c>
      <c r="J19" s="29">
        <f t="shared" si="2"/>
        <v>0.32456116370847321</v>
      </c>
      <c r="K19">
        <f t="shared" si="3"/>
        <v>7.213925790196939E-7</v>
      </c>
      <c r="L19">
        <f>(G19-G18)/(B19-B18)</f>
        <v>1.1706613226744021E-6</v>
      </c>
      <c r="M19" s="57">
        <f t="shared" ref="M19:M33" si="4">AVERAGE(C18:C19)</f>
        <v>6.4959100000000269E-2</v>
      </c>
      <c r="N19" s="57">
        <f t="shared" ref="N19:N22" si="5">AVERAGE(G18:G19)</f>
        <v>6.8058429247553509E-2</v>
      </c>
    </row>
    <row r="20" spans="1:14" ht="16.5" thickBot="1" x14ac:dyDescent="0.3">
      <c r="A20" s="40">
        <v>77556</v>
      </c>
      <c r="B20" s="40">
        <f t="shared" si="0"/>
        <v>63661</v>
      </c>
      <c r="C20" s="29">
        <v>8.8974799999999687E-2</v>
      </c>
      <c r="D20" s="29"/>
      <c r="E20" s="29"/>
      <c r="F20" s="29"/>
      <c r="G20" s="29">
        <v>9.2470691912436676E-2</v>
      </c>
      <c r="H20" s="29"/>
      <c r="I20" s="29">
        <f t="shared" si="1"/>
        <v>1.0392908094475852</v>
      </c>
      <c r="J20" s="29">
        <f t="shared" si="2"/>
        <v>0.3654968059780106</v>
      </c>
      <c r="K20">
        <f t="shared" si="3"/>
        <v>4.4416384622058665E-7</v>
      </c>
      <c r="L20">
        <f>(G20-G19)/(B20-B19)</f>
        <v>2.9959551893872983E-7</v>
      </c>
      <c r="M20" s="57">
        <f t="shared" si="4"/>
        <v>8.1297649999999957E-2</v>
      </c>
      <c r="N20" s="57">
        <f t="shared" si="5"/>
        <v>8.72923331653402E-2</v>
      </c>
    </row>
    <row r="21" spans="1:14" ht="16.5" thickBot="1" x14ac:dyDescent="0.3">
      <c r="A21" s="40">
        <v>112914</v>
      </c>
      <c r="B21" s="40">
        <f t="shared" si="0"/>
        <v>99019</v>
      </c>
      <c r="C21" s="29">
        <v>0.10511650000000011</v>
      </c>
      <c r="D21" s="29"/>
      <c r="E21" s="29"/>
      <c r="F21" s="29"/>
      <c r="G21" s="29">
        <v>0.13833615510100561</v>
      </c>
      <c r="H21" s="29"/>
      <c r="I21" s="29">
        <f t="shared" si="1"/>
        <v>1.3160270281164752</v>
      </c>
      <c r="J21" s="29">
        <f t="shared" si="2"/>
        <v>0.54678322174310512</v>
      </c>
      <c r="K21">
        <f t="shared" si="3"/>
        <v>4.5652186209628445E-7</v>
      </c>
      <c r="L21">
        <f>(G21-G20)/(B21-B20)</f>
        <v>1.2971735728426079E-6</v>
      </c>
      <c r="M21" s="57">
        <f t="shared" si="4"/>
        <v>9.70456499999999E-2</v>
      </c>
      <c r="N21" s="57">
        <f>AVERAGE(G20:G21)</f>
        <v>0.11540342350672114</v>
      </c>
    </row>
    <row r="22" spans="1:14" ht="16.5" thickBot="1" x14ac:dyDescent="0.3">
      <c r="A22" s="40">
        <v>174477</v>
      </c>
      <c r="B22" s="40">
        <f t="shared" si="0"/>
        <v>160582</v>
      </c>
      <c r="C22" s="29">
        <v>0.12322670000000044</v>
      </c>
      <c r="D22" s="29"/>
      <c r="E22" s="29">
        <v>3.700779999999991E-2</v>
      </c>
      <c r="F22" s="29">
        <v>2.7559000000000115E-2</v>
      </c>
      <c r="G22" s="29">
        <v>0.25</v>
      </c>
      <c r="H22" s="29"/>
      <c r="I22" s="29">
        <f t="shared" si="1"/>
        <v>2.0287811001998683</v>
      </c>
      <c r="J22" s="29">
        <f t="shared" si="2"/>
        <v>0.98814229249011853</v>
      </c>
      <c r="K22">
        <f t="shared" si="3"/>
        <v>2.9417344833748075E-7</v>
      </c>
      <c r="L22">
        <f>(G22-G21)/(B22-B21)</f>
        <v>1.8138142211879601E-6</v>
      </c>
      <c r="M22" s="57">
        <f t="shared" si="4"/>
        <v>0.11417160000000028</v>
      </c>
      <c r="N22" s="57">
        <f t="shared" si="5"/>
        <v>0.1941680775505028</v>
      </c>
    </row>
    <row r="23" spans="1:14" ht="16.5" thickBot="1" x14ac:dyDescent="0.3">
      <c r="A23" s="40">
        <v>264231</v>
      </c>
      <c r="B23" s="40">
        <f t="shared" si="0"/>
        <v>250336</v>
      </c>
      <c r="C23" s="29">
        <v>0.14330540000000008</v>
      </c>
      <c r="D23" s="29">
        <v>4.3307000000000061E-2</v>
      </c>
      <c r="E23" s="29">
        <v>5.590540000000007E-2</v>
      </c>
      <c r="F23" s="29">
        <v>4.0157399999999843E-2</v>
      </c>
      <c r="G23" s="29"/>
      <c r="H23" s="29"/>
      <c r="I23" s="29"/>
      <c r="J23" s="29"/>
      <c r="K23">
        <f t="shared" si="3"/>
        <v>2.2370813557055556E-7</v>
      </c>
      <c r="M23" s="57">
        <f t="shared" si="4"/>
        <v>0.13326605000000025</v>
      </c>
      <c r="N23" s="57"/>
    </row>
    <row r="24" spans="1:14" ht="16.5" thickBot="1" x14ac:dyDescent="0.3">
      <c r="A24" s="40">
        <v>344627</v>
      </c>
      <c r="B24" s="40">
        <f t="shared" si="0"/>
        <v>330732</v>
      </c>
      <c r="C24" s="29">
        <v>0.16338409999999973</v>
      </c>
      <c r="D24" s="29">
        <v>6.4960500000000226E-2</v>
      </c>
      <c r="E24" s="29">
        <v>7.165340000000002E-2</v>
      </c>
      <c r="F24" s="29">
        <v>4.7637700000000033E-2</v>
      </c>
      <c r="G24" s="29"/>
      <c r="H24" s="29"/>
      <c r="I24" s="29"/>
      <c r="J24" s="29"/>
      <c r="K24">
        <f t="shared" si="3"/>
        <v>2.4974749987561126E-7</v>
      </c>
      <c r="M24" s="57">
        <f t="shared" si="4"/>
        <v>0.15334474999999992</v>
      </c>
      <c r="N24" s="57"/>
    </row>
    <row r="25" spans="1:14" ht="16.5" thickBot="1" x14ac:dyDescent="0.3">
      <c r="A25" s="40">
        <v>402780</v>
      </c>
      <c r="B25" s="40">
        <f t="shared" si="0"/>
        <v>388885</v>
      </c>
      <c r="C25" s="29">
        <v>0.18267540000000007</v>
      </c>
      <c r="D25" s="29">
        <v>7.8740000000000004E-2</v>
      </c>
      <c r="E25" s="29">
        <v>7.5590400000000071E-2</v>
      </c>
      <c r="F25" s="29">
        <v>5.0393599999999768E-2</v>
      </c>
      <c r="G25" s="29"/>
      <c r="H25" s="29"/>
      <c r="I25" s="29"/>
      <c r="J25" s="29"/>
      <c r="K25">
        <f t="shared" si="3"/>
        <v>3.317335305143388E-7</v>
      </c>
      <c r="M25" s="57">
        <f t="shared" si="4"/>
        <v>0.1730297499999999</v>
      </c>
      <c r="N25" s="57"/>
    </row>
    <row r="26" spans="1:14" ht="16.5" thickBot="1" x14ac:dyDescent="0.3">
      <c r="A26" s="40">
        <v>442586</v>
      </c>
      <c r="B26" s="40">
        <f t="shared" si="0"/>
        <v>428691</v>
      </c>
      <c r="C26" s="29">
        <v>0.20393519999999976</v>
      </c>
      <c r="D26" s="29">
        <v>0.12125960000000022</v>
      </c>
      <c r="E26" s="29">
        <v>7.8346299999999799E-2</v>
      </c>
      <c r="F26" s="29">
        <v>5.1968400000000012E-2</v>
      </c>
      <c r="G26" s="29"/>
      <c r="H26" s="29"/>
      <c r="I26" s="29"/>
      <c r="J26" s="29"/>
      <c r="K26">
        <f t="shared" si="3"/>
        <v>5.3408531377178538E-7</v>
      </c>
      <c r="M26" s="57">
        <f t="shared" si="4"/>
        <v>0.1933052999999999</v>
      </c>
      <c r="N26" s="57"/>
    </row>
    <row r="27" spans="1:14" ht="16.5" thickBot="1" x14ac:dyDescent="0.3">
      <c r="A27" s="40">
        <v>474589</v>
      </c>
      <c r="B27" s="40">
        <f t="shared" si="0"/>
        <v>460694</v>
      </c>
      <c r="C27" s="29">
        <v>0.22598240000000042</v>
      </c>
      <c r="D27" s="29">
        <v>0.12204700000000006</v>
      </c>
      <c r="E27" s="29">
        <v>8.3858100000000102E-2</v>
      </c>
      <c r="F27" s="29">
        <v>5.6299099999999991E-2</v>
      </c>
      <c r="G27" s="29"/>
      <c r="H27" s="29"/>
      <c r="I27" s="29"/>
      <c r="J27" s="29"/>
      <c r="K27">
        <f t="shared" ref="K27:K33" si="6">(C27-C26)/(B27-B26)</f>
        <v>6.889104146486472E-7</v>
      </c>
      <c r="M27" s="57">
        <f t="shared" si="4"/>
        <v>0.21495880000000009</v>
      </c>
      <c r="N27" s="57"/>
    </row>
    <row r="28" spans="1:14" ht="16.5" thickBot="1" x14ac:dyDescent="0.3">
      <c r="A28" s="40">
        <v>490811</v>
      </c>
      <c r="B28" s="40">
        <f t="shared" si="0"/>
        <v>476916</v>
      </c>
      <c r="C28" s="29">
        <v>0.25157289999999949</v>
      </c>
      <c r="D28" s="29">
        <v>0.1279525</v>
      </c>
      <c r="E28" s="29">
        <v>8.6220299999999916E-2</v>
      </c>
      <c r="F28" s="29">
        <v>5.9842399999999844E-2</v>
      </c>
      <c r="G28" s="29"/>
      <c r="H28" s="29"/>
      <c r="I28" s="29"/>
      <c r="J28" s="29"/>
      <c r="K28">
        <f>(C28-C27)/(B28-B27)</f>
        <v>1.5775181851805617E-6</v>
      </c>
      <c r="M28" s="57">
        <f t="shared" si="4"/>
        <v>0.23877764999999995</v>
      </c>
      <c r="N28" s="57"/>
    </row>
    <row r="29" spans="1:14" ht="16.5" thickBot="1" x14ac:dyDescent="0.3">
      <c r="A29" s="40">
        <v>501211</v>
      </c>
      <c r="B29" s="40">
        <f t="shared" si="0"/>
        <v>487316</v>
      </c>
      <c r="C29" s="29">
        <v>0.27952559999999982</v>
      </c>
      <c r="D29" s="29">
        <v>0.13188950000000008</v>
      </c>
      <c r="E29" s="29">
        <v>8.8582500000000008E-2</v>
      </c>
      <c r="F29" s="29">
        <v>6.0236100000000049E-2</v>
      </c>
      <c r="G29" s="29"/>
      <c r="H29" s="29"/>
      <c r="I29" s="29"/>
      <c r="J29" s="29"/>
      <c r="K29">
        <f t="shared" si="6"/>
        <v>2.687759615384647E-6</v>
      </c>
      <c r="M29" s="57">
        <f t="shared" si="4"/>
        <v>0.26554924999999963</v>
      </c>
      <c r="N29" s="57"/>
    </row>
    <row r="30" spans="1:14" ht="16.5" thickBot="1" x14ac:dyDescent="0.3">
      <c r="A30" s="40">
        <v>508854</v>
      </c>
      <c r="B30" s="40">
        <f t="shared" si="0"/>
        <v>494959</v>
      </c>
      <c r="C30" s="29">
        <v>0.30944680000000002</v>
      </c>
      <c r="D30" s="29">
        <v>0</v>
      </c>
      <c r="E30" s="29">
        <v>0</v>
      </c>
      <c r="F30" s="29">
        <v>0</v>
      </c>
      <c r="G30" s="29"/>
      <c r="H30" s="29"/>
      <c r="I30" s="29"/>
      <c r="J30" s="29"/>
      <c r="K30">
        <f t="shared" si="6"/>
        <v>3.9148501897161063E-6</v>
      </c>
      <c r="M30" s="57">
        <f t="shared" si="4"/>
        <v>0.29448619999999992</v>
      </c>
      <c r="N30" s="57"/>
    </row>
    <row r="31" spans="1:14" ht="16.5" thickBot="1" x14ac:dyDescent="0.3">
      <c r="A31" s="40">
        <v>513379</v>
      </c>
      <c r="B31" s="40">
        <f t="shared" si="0"/>
        <v>499484</v>
      </c>
      <c r="C31" s="29">
        <v>0.34960420000000042</v>
      </c>
      <c r="D31" s="29">
        <v>0</v>
      </c>
      <c r="E31" s="29">
        <v>0</v>
      </c>
      <c r="F31" s="29">
        <v>0</v>
      </c>
      <c r="G31" s="29"/>
      <c r="H31" s="29"/>
      <c r="I31" s="29"/>
      <c r="J31" s="29"/>
      <c r="K31">
        <f t="shared" si="6"/>
        <v>8.8745635359116896E-6</v>
      </c>
      <c r="M31" s="57">
        <f t="shared" si="4"/>
        <v>0.32952550000000025</v>
      </c>
      <c r="N31" s="57"/>
    </row>
    <row r="32" spans="1:14" ht="16.5" thickBot="1" x14ac:dyDescent="0.3">
      <c r="A32" s="40">
        <v>516907</v>
      </c>
      <c r="B32" s="40">
        <f t="shared" si="0"/>
        <v>503012</v>
      </c>
      <c r="C32" s="29">
        <v>0.40275370000000021</v>
      </c>
      <c r="D32" s="29">
        <v>0</v>
      </c>
      <c r="E32" s="29">
        <v>0</v>
      </c>
      <c r="F32" s="29">
        <v>0</v>
      </c>
      <c r="G32" s="29"/>
      <c r="H32" s="29"/>
      <c r="I32" s="29"/>
      <c r="J32" s="29"/>
      <c r="K32">
        <f t="shared" si="6"/>
        <v>1.5065051020408105E-5</v>
      </c>
      <c r="M32" s="57">
        <f t="shared" si="4"/>
        <v>0.37617895000000034</v>
      </c>
    </row>
    <row r="33" spans="1:13" ht="16.5" thickBot="1" x14ac:dyDescent="0.3">
      <c r="A33" s="40">
        <v>519140</v>
      </c>
      <c r="B33" s="40">
        <f t="shared" si="0"/>
        <v>505245</v>
      </c>
      <c r="C33" s="29">
        <v>0.45196620000000021</v>
      </c>
      <c r="D33" s="29">
        <v>0.13425169999999986</v>
      </c>
      <c r="E33" s="29">
        <v>0</v>
      </c>
      <c r="F33" s="29">
        <v>6.4566800000000021E-2</v>
      </c>
      <c r="G33" s="29"/>
      <c r="H33" s="29"/>
      <c r="I33" s="29"/>
      <c r="J33" s="29"/>
      <c r="K33">
        <f t="shared" si="6"/>
        <v>2.2038737124944018E-5</v>
      </c>
      <c r="M33" s="57">
        <f t="shared" si="4"/>
        <v>0.42735995000000021</v>
      </c>
    </row>
    <row r="34" spans="1:13" ht="16.5" thickBot="1" x14ac:dyDescent="0.3">
      <c r="A34" s="40">
        <v>520611</v>
      </c>
      <c r="B34" s="40">
        <f t="shared" si="0"/>
        <v>506716</v>
      </c>
      <c r="C34" s="29">
        <v>0.50196610000000008</v>
      </c>
      <c r="D34" s="29">
        <v>0</v>
      </c>
      <c r="E34" s="29">
        <v>9.0550999999999895E-2</v>
      </c>
      <c r="F34" s="29">
        <v>0</v>
      </c>
      <c r="G34" s="29"/>
      <c r="H34" s="29"/>
      <c r="I34" s="29"/>
      <c r="J34" s="29"/>
      <c r="K34">
        <f>(C34-C33)/(B34-B33)</f>
        <v>3.3990414683888429E-5</v>
      </c>
      <c r="M34" s="57">
        <f>AVERAGE(C33:C34)</f>
        <v>0.47696615000000014</v>
      </c>
    </row>
    <row r="35" spans="1:13" ht="16.5" thickBot="1" x14ac:dyDescent="0.3">
      <c r="A35" s="40">
        <v>521833</v>
      </c>
      <c r="B35" s="40">
        <f t="shared" si="0"/>
        <v>507938</v>
      </c>
      <c r="C35" s="29">
        <v>0.55550930000000009</v>
      </c>
      <c r="D35" s="29">
        <v>0.13464540000000008</v>
      </c>
      <c r="E35" s="29">
        <v>0.35511739999999986</v>
      </c>
      <c r="F35" s="29">
        <v>6.7322700000000041E-2</v>
      </c>
      <c r="G35" s="29"/>
      <c r="H35" s="29"/>
      <c r="I35" s="29"/>
      <c r="J35" s="29"/>
      <c r="K35">
        <f t="shared" ref="K35:K36" si="7">(C35-C34)/(B35-B34)</f>
        <v>4.381603927986908E-5</v>
      </c>
      <c r="M35" s="57">
        <f t="shared" ref="M35:M36" si="8">AVERAGE(C34:C35)</f>
        <v>0.52873770000000009</v>
      </c>
    </row>
    <row r="36" spans="1:13" ht="16.5" thickBot="1" x14ac:dyDescent="0.3">
      <c r="A36" s="40">
        <v>522862</v>
      </c>
      <c r="B36" s="40">
        <f t="shared" si="0"/>
        <v>508967</v>
      </c>
      <c r="C36" s="29">
        <v>0.64920990000000045</v>
      </c>
      <c r="D36" s="29">
        <v>0.13858240000000013</v>
      </c>
      <c r="E36" s="29">
        <v>0.55826660000000006</v>
      </c>
      <c r="F36" s="29">
        <v>6.9291199999999928E-2</v>
      </c>
      <c r="G36" s="29"/>
      <c r="H36" s="29"/>
      <c r="I36" s="29"/>
      <c r="J36" s="29"/>
      <c r="K36">
        <f t="shared" si="7"/>
        <v>9.1059863945578581E-5</v>
      </c>
      <c r="M36" s="57">
        <f t="shared" si="8"/>
        <v>0.60235960000000022</v>
      </c>
    </row>
    <row r="37" spans="1:13" ht="16.5" thickBot="1" x14ac:dyDescent="0.3">
      <c r="A37" s="40">
        <v>524172</v>
      </c>
      <c r="B37" s="40">
        <f t="shared" si="0"/>
        <v>510277</v>
      </c>
      <c r="C37" s="29"/>
      <c r="D37" s="29"/>
      <c r="E37" s="29"/>
      <c r="F37" s="29"/>
      <c r="G37" s="29"/>
      <c r="H37" s="29"/>
      <c r="I37" s="29"/>
      <c r="J37" s="29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0:N39"/>
  <sheetViews>
    <sheetView topLeftCell="D4" zoomScale="70" zoomScaleNormal="70" workbookViewId="0">
      <selection activeCell="K11" sqref="K11:N14"/>
    </sheetView>
  </sheetViews>
  <sheetFormatPr defaultRowHeight="15" x14ac:dyDescent="0.25"/>
  <cols>
    <col min="8" max="8" width="21.140625" customWidth="1"/>
    <col min="11" max="12" width="14.85546875" bestFit="1" customWidth="1"/>
  </cols>
  <sheetData>
    <row r="10" spans="1:14" ht="57.6" customHeight="1" x14ac:dyDescent="0.25"/>
    <row r="11" spans="1:14" x14ac:dyDescent="0.25">
      <c r="A11" s="100" t="s">
        <v>15</v>
      </c>
      <c r="B11" s="102" t="s">
        <v>27</v>
      </c>
      <c r="C11" s="105" t="s">
        <v>16</v>
      </c>
      <c r="D11" s="105"/>
      <c r="E11" s="105"/>
      <c r="F11" s="105"/>
      <c r="G11" s="105"/>
      <c r="H11" s="105" t="s">
        <v>20</v>
      </c>
      <c r="I11" s="101" t="s">
        <v>25</v>
      </c>
      <c r="J11" s="101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x14ac:dyDescent="0.25">
      <c r="A12" s="100"/>
      <c r="B12" s="103"/>
      <c r="C12" s="105" t="s">
        <v>21</v>
      </c>
      <c r="D12" s="105"/>
      <c r="E12" s="105"/>
      <c r="F12" s="105"/>
      <c r="G12" s="105" t="s">
        <v>19</v>
      </c>
      <c r="H12" s="105"/>
      <c r="I12" s="101"/>
      <c r="J12" s="101"/>
      <c r="K12" s="90"/>
      <c r="L12" s="90"/>
      <c r="M12" s="90"/>
      <c r="N12" s="90"/>
    </row>
    <row r="13" spans="1:14" x14ac:dyDescent="0.25">
      <c r="A13" s="100"/>
      <c r="B13" s="103"/>
      <c r="C13" s="105" t="s">
        <v>22</v>
      </c>
      <c r="D13" s="105"/>
      <c r="E13" s="105" t="s">
        <v>23</v>
      </c>
      <c r="F13" s="105"/>
      <c r="G13" s="105"/>
      <c r="H13" s="105"/>
      <c r="I13" s="101"/>
      <c r="J13" s="101"/>
      <c r="K13" s="90"/>
      <c r="L13" s="90"/>
      <c r="M13" s="90"/>
      <c r="N13" s="90"/>
    </row>
    <row r="14" spans="1:14" x14ac:dyDescent="0.25">
      <c r="A14" s="100"/>
      <c r="B14" s="104"/>
      <c r="C14" s="2" t="s">
        <v>17</v>
      </c>
      <c r="D14" s="2" t="s">
        <v>18</v>
      </c>
      <c r="E14" s="2" t="s">
        <v>17</v>
      </c>
      <c r="F14" s="2" t="s">
        <v>18</v>
      </c>
      <c r="G14" s="105"/>
      <c r="H14" s="105"/>
      <c r="I14" s="101"/>
      <c r="J14" s="101"/>
      <c r="K14" s="90"/>
      <c r="L14" s="90"/>
      <c r="M14" s="90"/>
      <c r="N14" s="90"/>
    </row>
    <row r="15" spans="1:14" x14ac:dyDescent="0.25">
      <c r="A15" s="8">
        <v>0</v>
      </c>
      <c r="B15" s="8">
        <f>A15</f>
        <v>0</v>
      </c>
      <c r="C15" s="8">
        <v>5.0799999999999998E-2</v>
      </c>
      <c r="D15" s="8" t="s">
        <v>24</v>
      </c>
      <c r="E15" s="8" t="s">
        <v>24</v>
      </c>
      <c r="F15" s="8" t="s">
        <v>24</v>
      </c>
      <c r="G15" s="8">
        <v>7.1548890258939582E-2</v>
      </c>
      <c r="H15" s="8"/>
      <c r="I15" s="9">
        <f>G15/C15</f>
        <v>1.4084427216326689</v>
      </c>
      <c r="J15" s="9">
        <f>G15/0.2535</f>
        <v>0.28224414303329226</v>
      </c>
    </row>
    <row r="16" spans="1:14" x14ac:dyDescent="0.25">
      <c r="A16" s="2">
        <v>2007</v>
      </c>
      <c r="B16" s="2">
        <f t="shared" ref="B16:B39" si="0">A16</f>
        <v>2007</v>
      </c>
      <c r="C16" s="2">
        <v>5.79E-2</v>
      </c>
      <c r="D16" s="2" t="s">
        <v>24</v>
      </c>
      <c r="E16" s="2" t="s">
        <v>24</v>
      </c>
      <c r="F16" s="2" t="s">
        <v>24</v>
      </c>
      <c r="G16" s="2">
        <v>7.3768187422934645E-2</v>
      </c>
      <c r="H16" s="2"/>
      <c r="I16" s="6">
        <f t="shared" ref="I16:I30" si="1">G16/C16</f>
        <v>1.2740619589453306</v>
      </c>
      <c r="J16" s="6">
        <f t="shared" ref="J16:J30" si="2">G16/0.2535</f>
        <v>0.29099876695437732</v>
      </c>
      <c r="K16">
        <f>(C16-C15)/(B16-B15)</f>
        <v>3.5376183358246149E-6</v>
      </c>
      <c r="L16">
        <f>(G16-G15)/(B16-B15)</f>
        <v>1.1057783577454223E-6</v>
      </c>
      <c r="M16">
        <f>AVERAGE(C15:C16)</f>
        <v>5.4349999999999996E-2</v>
      </c>
      <c r="N16">
        <f>AVERAGE(G15:G16)</f>
        <v>7.265853884093712E-2</v>
      </c>
    </row>
    <row r="17" spans="1:14" x14ac:dyDescent="0.25">
      <c r="A17" s="2">
        <v>4348</v>
      </c>
      <c r="B17" s="2">
        <f t="shared" si="0"/>
        <v>4348</v>
      </c>
      <c r="C17" s="2">
        <v>6.4640000000000003E-2</v>
      </c>
      <c r="D17" s="2" t="s">
        <v>24</v>
      </c>
      <c r="E17" s="2" t="s">
        <v>24</v>
      </c>
      <c r="F17" s="2" t="s">
        <v>24</v>
      </c>
      <c r="G17" s="2">
        <v>7.8269297163995069E-2</v>
      </c>
      <c r="H17" s="2"/>
      <c r="I17" s="6">
        <f t="shared" si="1"/>
        <v>1.210849275433092</v>
      </c>
      <c r="J17" s="6">
        <f t="shared" si="2"/>
        <v>0.3087546239210851</v>
      </c>
      <c r="K17">
        <f t="shared" ref="K17:K38" si="3">(C17-C16)/(B17-B16)</f>
        <v>2.8791114908158918E-6</v>
      </c>
      <c r="L17">
        <f t="shared" ref="L17:L32" si="4">(G17-G16)/(B17-B16)</f>
        <v>1.9227294921232057E-6</v>
      </c>
      <c r="M17">
        <f t="shared" ref="M17:M38" si="5">AVERAGE(C16:C17)</f>
        <v>6.1270000000000005E-2</v>
      </c>
      <c r="N17">
        <f t="shared" ref="N17:N31" si="6">AVERAGE(G16:G17)</f>
        <v>7.6018742293464864E-2</v>
      </c>
    </row>
    <row r="18" spans="1:14" x14ac:dyDescent="0.25">
      <c r="A18" s="2">
        <v>6891</v>
      </c>
      <c r="B18" s="2">
        <f t="shared" si="0"/>
        <v>6891</v>
      </c>
      <c r="C18" s="2">
        <v>7.0059999999999997E-2</v>
      </c>
      <c r="D18" s="2" t="s">
        <v>24</v>
      </c>
      <c r="E18" s="2" t="s">
        <v>24</v>
      </c>
      <c r="F18" s="2" t="s">
        <v>24</v>
      </c>
      <c r="G18" s="2">
        <v>7.9582120838471021E-2</v>
      </c>
      <c r="H18" s="2"/>
      <c r="I18" s="6">
        <f t="shared" si="1"/>
        <v>1.135913800149458</v>
      </c>
      <c r="J18" s="6">
        <f t="shared" si="2"/>
        <v>0.31393341553637483</v>
      </c>
      <c r="K18">
        <f t="shared" si="3"/>
        <v>2.1313409359024753E-6</v>
      </c>
      <c r="L18">
        <f t="shared" si="4"/>
        <v>5.1624997030120018E-7</v>
      </c>
      <c r="M18">
        <f t="shared" si="5"/>
        <v>6.7349999999999993E-2</v>
      </c>
      <c r="N18">
        <f t="shared" si="6"/>
        <v>7.8925709001233052E-2</v>
      </c>
    </row>
    <row r="19" spans="1:14" x14ac:dyDescent="0.25">
      <c r="A19" s="2">
        <v>8932</v>
      </c>
      <c r="B19" s="2">
        <f t="shared" si="0"/>
        <v>8932</v>
      </c>
      <c r="C19" s="2">
        <v>7.7380000000000004E-2</v>
      </c>
      <c r="D19" s="2" t="s">
        <v>24</v>
      </c>
      <c r="E19" s="2" t="s">
        <v>24</v>
      </c>
      <c r="F19" s="2" t="s">
        <v>24</v>
      </c>
      <c r="G19" s="2">
        <v>8.4552096177558572E-2</v>
      </c>
      <c r="H19" s="2"/>
      <c r="I19" s="6">
        <f t="shared" si="1"/>
        <v>1.0926866913615736</v>
      </c>
      <c r="J19" s="6">
        <f t="shared" si="2"/>
        <v>0.33353884093711467</v>
      </c>
      <c r="K19">
        <f t="shared" si="3"/>
        <v>3.5864772170504689E-6</v>
      </c>
      <c r="L19">
        <f t="shared" si="4"/>
        <v>2.4350687599645033E-6</v>
      </c>
      <c r="M19">
        <f t="shared" si="5"/>
        <v>7.3720000000000008E-2</v>
      </c>
      <c r="N19">
        <f t="shared" si="6"/>
        <v>8.2067108508014797E-2</v>
      </c>
    </row>
    <row r="20" spans="1:14" x14ac:dyDescent="0.25">
      <c r="A20" s="2">
        <v>11976</v>
      </c>
      <c r="B20" s="2">
        <f t="shared" si="0"/>
        <v>11976</v>
      </c>
      <c r="C20" s="2">
        <v>8.6260000000000003E-2</v>
      </c>
      <c r="D20" s="2" t="s">
        <v>24</v>
      </c>
      <c r="E20" s="2" t="s">
        <v>24</v>
      </c>
      <c r="F20" s="2" t="s">
        <v>24</v>
      </c>
      <c r="G20" s="2">
        <v>9.4054438964241677E-2</v>
      </c>
      <c r="H20" s="2"/>
      <c r="I20" s="6">
        <f t="shared" si="1"/>
        <v>1.0903598303297204</v>
      </c>
      <c r="J20" s="6">
        <f t="shared" si="2"/>
        <v>0.37102342786683107</v>
      </c>
      <c r="K20">
        <f t="shared" si="3"/>
        <v>2.9172141918528251E-6</v>
      </c>
      <c r="L20">
        <f t="shared" si="4"/>
        <v>3.1216632019326887E-6</v>
      </c>
      <c r="M20">
        <f t="shared" si="5"/>
        <v>8.1820000000000004E-2</v>
      </c>
      <c r="N20">
        <f t="shared" si="6"/>
        <v>8.9303267570900124E-2</v>
      </c>
    </row>
    <row r="21" spans="1:14" x14ac:dyDescent="0.25">
      <c r="A21" s="2">
        <v>19361</v>
      </c>
      <c r="B21" s="2">
        <f t="shared" si="0"/>
        <v>19361</v>
      </c>
      <c r="C21" s="2">
        <v>0.10652</v>
      </c>
      <c r="D21" s="2" t="s">
        <v>24</v>
      </c>
      <c r="E21" s="2" t="s">
        <v>24</v>
      </c>
      <c r="F21" s="2" t="s">
        <v>24</v>
      </c>
      <c r="G21" s="2">
        <v>0.12034217016029593</v>
      </c>
      <c r="H21" s="2"/>
      <c r="I21" s="6">
        <f t="shared" si="1"/>
        <v>1.1297612669948922</v>
      </c>
      <c r="J21" s="6">
        <f t="shared" si="2"/>
        <v>0.47472256473489516</v>
      </c>
      <c r="K21">
        <f t="shared" si="3"/>
        <v>2.7433987813134733E-6</v>
      </c>
      <c r="L21">
        <f t="shared" si="4"/>
        <v>3.5596115363648274E-6</v>
      </c>
      <c r="M21">
        <f t="shared" si="5"/>
        <v>9.6390000000000003E-2</v>
      </c>
      <c r="N21">
        <f t="shared" si="6"/>
        <v>0.10719830456226881</v>
      </c>
    </row>
    <row r="22" spans="1:14" x14ac:dyDescent="0.25">
      <c r="A22" s="2">
        <v>21375</v>
      </c>
      <c r="B22" s="2">
        <f t="shared" si="0"/>
        <v>21375</v>
      </c>
      <c r="C22" s="2">
        <v>0.10914</v>
      </c>
      <c r="D22" s="2" t="s">
        <v>24</v>
      </c>
      <c r="E22" s="2" t="s">
        <v>24</v>
      </c>
      <c r="F22" s="2" t="s">
        <v>24</v>
      </c>
      <c r="G22" s="2">
        <v>0.12509334155363749</v>
      </c>
      <c r="H22" s="2"/>
      <c r="I22" s="6">
        <f t="shared" si="1"/>
        <v>1.1461731863078386</v>
      </c>
      <c r="J22" s="6">
        <f t="shared" si="2"/>
        <v>0.49346485819975344</v>
      </c>
      <c r="K22">
        <f t="shared" si="3"/>
        <v>1.3008937437934445E-6</v>
      </c>
      <c r="L22">
        <f t="shared" si="4"/>
        <v>2.3590721913314626E-6</v>
      </c>
      <c r="M22">
        <f t="shared" si="5"/>
        <v>0.10783000000000001</v>
      </c>
      <c r="N22">
        <f t="shared" si="6"/>
        <v>0.1227177558569667</v>
      </c>
    </row>
    <row r="23" spans="1:14" x14ac:dyDescent="0.25">
      <c r="A23" s="2">
        <v>23647</v>
      </c>
      <c r="B23" s="2">
        <f t="shared" si="0"/>
        <v>23647</v>
      </c>
      <c r="C23" s="2">
        <v>0.11742</v>
      </c>
      <c r="D23" s="2" t="s">
        <v>24</v>
      </c>
      <c r="E23" s="2" t="s">
        <v>24</v>
      </c>
      <c r="F23" s="2" t="s">
        <v>24</v>
      </c>
      <c r="G23" s="2">
        <v>0.13543964241676942</v>
      </c>
      <c r="H23" s="2"/>
      <c r="I23" s="6">
        <f t="shared" si="1"/>
        <v>1.1534631444112537</v>
      </c>
      <c r="J23" s="6">
        <f t="shared" si="2"/>
        <v>0.53427866831072746</v>
      </c>
      <c r="K23">
        <f t="shared" si="3"/>
        <v>3.6443661971830966E-6</v>
      </c>
      <c r="L23">
        <f t="shared" si="4"/>
        <v>4.5538296052517298E-6</v>
      </c>
      <c r="M23">
        <f t="shared" si="5"/>
        <v>0.11327999999999999</v>
      </c>
      <c r="N23">
        <f t="shared" si="6"/>
        <v>0.13026649198520346</v>
      </c>
    </row>
    <row r="24" spans="1:14" x14ac:dyDescent="0.25">
      <c r="A24" s="2">
        <v>26116</v>
      </c>
      <c r="B24" s="2">
        <f t="shared" si="0"/>
        <v>26116</v>
      </c>
      <c r="C24" s="2">
        <v>0.12556</v>
      </c>
      <c r="D24" s="2" t="s">
        <v>24</v>
      </c>
      <c r="E24" s="2" t="s">
        <v>24</v>
      </c>
      <c r="F24" s="2" t="s">
        <v>24</v>
      </c>
      <c r="G24" s="2">
        <v>0.14562965474722564</v>
      </c>
      <c r="H24" s="2"/>
      <c r="I24" s="6">
        <f t="shared" si="1"/>
        <v>1.1598411496274741</v>
      </c>
      <c r="J24" s="6">
        <f t="shared" si="2"/>
        <v>0.57447595561035758</v>
      </c>
      <c r="K24">
        <f t="shared" si="3"/>
        <v>3.2968813284730693E-6</v>
      </c>
      <c r="L24">
        <f t="shared" si="4"/>
        <v>4.1271819888441542E-6</v>
      </c>
      <c r="M24">
        <f t="shared" si="5"/>
        <v>0.12149</v>
      </c>
      <c r="N24">
        <f t="shared" si="6"/>
        <v>0.14053464858199755</v>
      </c>
    </row>
    <row r="25" spans="1:14" x14ac:dyDescent="0.25">
      <c r="A25" s="2">
        <v>28140</v>
      </c>
      <c r="B25" s="2">
        <f t="shared" si="0"/>
        <v>28140</v>
      </c>
      <c r="C25" s="2">
        <v>0.14196</v>
      </c>
      <c r="D25" s="2" t="s">
        <v>24</v>
      </c>
      <c r="E25" s="2" t="s">
        <v>24</v>
      </c>
      <c r="F25" s="2" t="s">
        <v>24</v>
      </c>
      <c r="G25" s="2">
        <v>0.14994321824907522</v>
      </c>
      <c r="H25" s="2"/>
      <c r="I25" s="6">
        <f t="shared" si="1"/>
        <v>1.0562356878633081</v>
      </c>
      <c r="J25" s="6">
        <f t="shared" si="2"/>
        <v>0.59149198520345259</v>
      </c>
      <c r="K25">
        <f t="shared" si="3"/>
        <v>8.1027667984189719E-6</v>
      </c>
      <c r="L25">
        <f t="shared" si="4"/>
        <v>2.1312072637596748E-6</v>
      </c>
      <c r="M25">
        <f t="shared" si="5"/>
        <v>0.13375999999999999</v>
      </c>
      <c r="N25">
        <f t="shared" si="6"/>
        <v>0.14778643649815043</v>
      </c>
    </row>
    <row r="26" spans="1:14" x14ac:dyDescent="0.25">
      <c r="A26" s="2">
        <v>30115</v>
      </c>
      <c r="B26" s="2">
        <f t="shared" si="0"/>
        <v>30115</v>
      </c>
      <c r="C26" s="2">
        <v>0.14888000000000001</v>
      </c>
      <c r="D26" s="2" t="s">
        <v>24</v>
      </c>
      <c r="E26" s="2" t="s">
        <v>24</v>
      </c>
      <c r="F26" s="2" t="s">
        <v>24</v>
      </c>
      <c r="G26" s="2">
        <v>0.15997694204685575</v>
      </c>
      <c r="H26" s="2"/>
      <c r="I26" s="6">
        <f t="shared" si="1"/>
        <v>1.0745361502341197</v>
      </c>
      <c r="J26" s="6">
        <f t="shared" si="2"/>
        <v>0.63107274969173865</v>
      </c>
      <c r="K26">
        <f t="shared" si="3"/>
        <v>3.5037974683544354E-6</v>
      </c>
      <c r="L26">
        <f t="shared" si="4"/>
        <v>5.0803664798888761E-6</v>
      </c>
      <c r="M26">
        <f t="shared" si="5"/>
        <v>0.14541999999999999</v>
      </c>
      <c r="N26">
        <f t="shared" si="6"/>
        <v>0.15496008014796547</v>
      </c>
    </row>
    <row r="27" spans="1:14" x14ac:dyDescent="0.25">
      <c r="A27" s="2">
        <v>32119</v>
      </c>
      <c r="B27" s="2">
        <f t="shared" si="0"/>
        <v>32119</v>
      </c>
      <c r="C27" s="2">
        <v>0.15276000000000001</v>
      </c>
      <c r="D27" s="2" t="s">
        <v>24</v>
      </c>
      <c r="E27" s="2" t="s">
        <v>24</v>
      </c>
      <c r="F27" s="2" t="s">
        <v>24</v>
      </c>
      <c r="G27" s="2">
        <v>0.17373033292231813</v>
      </c>
      <c r="H27" s="2"/>
      <c r="I27" s="6">
        <f t="shared" si="1"/>
        <v>1.1372763349196002</v>
      </c>
      <c r="J27" s="6">
        <f t="shared" si="2"/>
        <v>0.68532675709001234</v>
      </c>
      <c r="K27">
        <f t="shared" si="3"/>
        <v>1.9361277445109754E-6</v>
      </c>
      <c r="L27">
        <f t="shared" si="4"/>
        <v>6.8629694987337197E-6</v>
      </c>
      <c r="M27">
        <f t="shared" si="5"/>
        <v>0.15082000000000001</v>
      </c>
      <c r="N27">
        <f t="shared" si="6"/>
        <v>0.16685363748458693</v>
      </c>
    </row>
    <row r="28" spans="1:14" x14ac:dyDescent="0.25">
      <c r="A28" s="2">
        <v>34161</v>
      </c>
      <c r="B28" s="2">
        <f t="shared" si="0"/>
        <v>34161</v>
      </c>
      <c r="C28" s="2">
        <v>0.18312</v>
      </c>
      <c r="D28" s="2" t="s">
        <v>24</v>
      </c>
      <c r="E28" s="2" t="s">
        <v>24</v>
      </c>
      <c r="F28" s="2" t="s">
        <v>24</v>
      </c>
      <c r="G28" s="2">
        <v>0.18851522811344021</v>
      </c>
      <c r="H28" s="2"/>
      <c r="I28" s="6">
        <f t="shared" si="1"/>
        <v>1.0294628009689832</v>
      </c>
      <c r="J28" s="6">
        <f t="shared" si="2"/>
        <v>0.74364981504315664</v>
      </c>
      <c r="K28">
        <f t="shared" si="3"/>
        <v>1.4867776689520077E-5</v>
      </c>
      <c r="L28">
        <f t="shared" si="4"/>
        <v>7.2403992121067984E-6</v>
      </c>
      <c r="M28">
        <f t="shared" si="5"/>
        <v>0.16794000000000001</v>
      </c>
      <c r="N28">
        <f t="shared" si="6"/>
        <v>0.18112278051787917</v>
      </c>
    </row>
    <row r="29" spans="1:14" x14ac:dyDescent="0.25">
      <c r="A29" s="2">
        <v>36309</v>
      </c>
      <c r="B29" s="2">
        <f t="shared" si="0"/>
        <v>36309</v>
      </c>
      <c r="C29" s="2">
        <v>0.19439999999999999</v>
      </c>
      <c r="D29" s="2" t="s">
        <v>24</v>
      </c>
      <c r="E29" s="2" t="s">
        <v>24</v>
      </c>
      <c r="F29" s="2" t="s">
        <v>24</v>
      </c>
      <c r="G29" s="2">
        <v>0.20067447595561033</v>
      </c>
      <c r="H29" s="2"/>
      <c r="I29" s="6">
        <f t="shared" si="1"/>
        <v>1.0322761108827692</v>
      </c>
      <c r="J29" s="6">
        <f t="shared" si="2"/>
        <v>0.79161528976572126</v>
      </c>
      <c r="K29">
        <f t="shared" si="3"/>
        <v>5.2513966480446852E-6</v>
      </c>
      <c r="L29">
        <f t="shared" si="4"/>
        <v>5.6607299079004299E-6</v>
      </c>
      <c r="M29">
        <f t="shared" si="5"/>
        <v>0.18875999999999998</v>
      </c>
      <c r="N29">
        <f t="shared" si="6"/>
        <v>0.19459485203452526</v>
      </c>
    </row>
    <row r="30" spans="1:14" x14ac:dyDescent="0.25">
      <c r="A30" s="2">
        <v>38503</v>
      </c>
      <c r="B30" s="2">
        <f t="shared" si="0"/>
        <v>38503</v>
      </c>
      <c r="C30" s="2">
        <v>0.21215999999999999</v>
      </c>
      <c r="D30" s="2" t="s">
        <v>24</v>
      </c>
      <c r="E30" s="2" t="s">
        <v>24</v>
      </c>
      <c r="F30" s="2" t="s">
        <v>24</v>
      </c>
      <c r="G30" s="2">
        <v>0.21811627620221946</v>
      </c>
      <c r="H30" s="2"/>
      <c r="I30" s="6">
        <f t="shared" si="1"/>
        <v>1.0280744541959816</v>
      </c>
      <c r="J30" s="6">
        <f t="shared" si="2"/>
        <v>0.86041923551171384</v>
      </c>
      <c r="K30">
        <f t="shared" si="3"/>
        <v>8.0948040109389241E-6</v>
      </c>
      <c r="L30">
        <f t="shared" si="4"/>
        <v>7.9497722181445431E-6</v>
      </c>
      <c r="M30">
        <f t="shared" si="5"/>
        <v>0.20327999999999999</v>
      </c>
      <c r="N30">
        <f t="shared" si="6"/>
        <v>0.2093953760789149</v>
      </c>
    </row>
    <row r="31" spans="1:14" x14ac:dyDescent="0.25">
      <c r="A31" s="2">
        <v>40580</v>
      </c>
      <c r="B31" s="2">
        <f t="shared" si="0"/>
        <v>40580</v>
      </c>
      <c r="C31" s="2">
        <v>0.22650000000000001</v>
      </c>
      <c r="D31" s="2" t="s">
        <v>24</v>
      </c>
      <c r="E31" s="2" t="s">
        <v>24</v>
      </c>
      <c r="F31" s="2" t="s">
        <v>24</v>
      </c>
      <c r="G31" s="2"/>
      <c r="H31" s="2"/>
      <c r="I31" s="6"/>
      <c r="J31" s="6"/>
      <c r="K31">
        <f t="shared" si="3"/>
        <v>6.9041887337506114E-6</v>
      </c>
      <c r="M31">
        <f t="shared" si="5"/>
        <v>0.21933</v>
      </c>
      <c r="N31">
        <f t="shared" si="6"/>
        <v>0.21811627620221946</v>
      </c>
    </row>
    <row r="32" spans="1:14" x14ac:dyDescent="0.25">
      <c r="A32" s="2">
        <v>42600</v>
      </c>
      <c r="B32" s="2">
        <f t="shared" si="0"/>
        <v>42600</v>
      </c>
      <c r="C32" s="2">
        <v>0.25074000000000002</v>
      </c>
      <c r="D32" s="2" t="s">
        <v>24</v>
      </c>
      <c r="E32" s="2">
        <v>0.12581999999999999</v>
      </c>
      <c r="F32" s="2" t="s">
        <v>24</v>
      </c>
      <c r="G32" s="2"/>
      <c r="H32" s="2"/>
      <c r="I32" s="2"/>
      <c r="J32" s="2"/>
      <c r="K32">
        <f t="shared" si="3"/>
        <v>1.2000000000000005E-5</v>
      </c>
      <c r="L32">
        <f t="shared" si="4"/>
        <v>0</v>
      </c>
      <c r="M32">
        <f t="shared" si="5"/>
        <v>0.23862</v>
      </c>
    </row>
    <row r="33" spans="1:13" x14ac:dyDescent="0.25">
      <c r="A33" s="2">
        <v>43604</v>
      </c>
      <c r="B33" s="2">
        <f t="shared" si="0"/>
        <v>43604</v>
      </c>
      <c r="C33" s="2">
        <v>0.26845999999999998</v>
      </c>
      <c r="D33" s="2" t="s">
        <v>24</v>
      </c>
      <c r="E33" s="2">
        <v>0.15989999999999999</v>
      </c>
      <c r="F33" s="2" t="s">
        <v>24</v>
      </c>
      <c r="G33" s="2" t="s">
        <v>24</v>
      </c>
      <c r="H33" s="2"/>
      <c r="I33" s="2"/>
      <c r="J33" s="2"/>
      <c r="K33">
        <f t="shared" si="3"/>
        <v>1.7649402390438204E-5</v>
      </c>
      <c r="M33">
        <f t="shared" si="5"/>
        <v>0.2596</v>
      </c>
    </row>
    <row r="34" spans="1:13" x14ac:dyDescent="0.25">
      <c r="A34" s="2">
        <v>44623</v>
      </c>
      <c r="B34" s="2">
        <f t="shared" si="0"/>
        <v>44623</v>
      </c>
      <c r="C34" s="2">
        <v>0.28714000000000001</v>
      </c>
      <c r="D34" s="2" t="s">
        <v>24</v>
      </c>
      <c r="E34" s="2">
        <v>0.19238</v>
      </c>
      <c r="F34" s="2" t="s">
        <v>24</v>
      </c>
      <c r="G34" s="2" t="s">
        <v>24</v>
      </c>
      <c r="H34" s="2"/>
      <c r="I34" s="2"/>
      <c r="J34" s="2"/>
      <c r="K34">
        <f t="shared" si="3"/>
        <v>1.8331697742885209E-5</v>
      </c>
      <c r="M34">
        <f t="shared" si="5"/>
        <v>0.27779999999999999</v>
      </c>
    </row>
    <row r="35" spans="1:13" x14ac:dyDescent="0.25">
      <c r="A35" s="2">
        <v>45131</v>
      </c>
      <c r="B35" s="2">
        <f t="shared" si="0"/>
        <v>45131</v>
      </c>
      <c r="C35" s="2">
        <v>0.30642000000000003</v>
      </c>
      <c r="D35" s="2" t="s">
        <v>24</v>
      </c>
      <c r="E35" s="2">
        <v>0.21310000000000001</v>
      </c>
      <c r="F35" s="2" t="s">
        <v>24</v>
      </c>
      <c r="G35" s="2" t="s">
        <v>24</v>
      </c>
      <c r="H35" s="2"/>
      <c r="I35" s="2"/>
      <c r="J35" s="2"/>
      <c r="K35">
        <f t="shared" si="3"/>
        <v>3.7952755905511848E-5</v>
      </c>
      <c r="M35">
        <f t="shared" si="5"/>
        <v>0.29678000000000004</v>
      </c>
    </row>
    <row r="36" spans="1:13" x14ac:dyDescent="0.25">
      <c r="A36" s="2">
        <v>45439</v>
      </c>
      <c r="B36" s="2">
        <f t="shared" si="0"/>
        <v>45439</v>
      </c>
      <c r="C36" s="2">
        <v>0.31590000000000001</v>
      </c>
      <c r="D36" s="2" t="s">
        <v>24</v>
      </c>
      <c r="E36" s="2">
        <v>0.22516</v>
      </c>
      <c r="F36" s="2" t="s">
        <v>24</v>
      </c>
      <c r="G36" s="2" t="s">
        <v>24</v>
      </c>
      <c r="H36" s="2"/>
      <c r="I36" s="2"/>
      <c r="J36" s="2"/>
      <c r="K36">
        <f t="shared" si="3"/>
        <v>3.0779220779220743E-5</v>
      </c>
      <c r="M36">
        <f t="shared" si="5"/>
        <v>0.31115999999999999</v>
      </c>
    </row>
    <row r="37" spans="1:13" x14ac:dyDescent="0.25">
      <c r="A37" s="2">
        <v>45750</v>
      </c>
      <c r="B37" s="2">
        <f t="shared" si="0"/>
        <v>45750</v>
      </c>
      <c r="C37" s="2">
        <v>0.33329999999999999</v>
      </c>
      <c r="D37" s="2" t="s">
        <v>24</v>
      </c>
      <c r="E37" s="2">
        <v>0.24174000000000001</v>
      </c>
      <c r="F37" s="2" t="s">
        <v>24</v>
      </c>
      <c r="G37" s="2" t="s">
        <v>24</v>
      </c>
      <c r="H37" s="2"/>
      <c r="I37" s="2"/>
      <c r="J37" s="2"/>
      <c r="K37">
        <f t="shared" si="3"/>
        <v>5.5948553054662288E-5</v>
      </c>
      <c r="M37">
        <f t="shared" si="5"/>
        <v>0.3246</v>
      </c>
    </row>
    <row r="38" spans="1:13" x14ac:dyDescent="0.25">
      <c r="A38" s="2">
        <v>45918</v>
      </c>
      <c r="B38" s="2">
        <f t="shared" si="0"/>
        <v>45918</v>
      </c>
      <c r="C38" s="2">
        <v>0.35</v>
      </c>
      <c r="D38" s="2" t="s">
        <v>24</v>
      </c>
      <c r="E38" s="2">
        <v>0.26272000000000001</v>
      </c>
      <c r="F38" s="2" t="s">
        <v>24</v>
      </c>
      <c r="G38" s="2" t="s">
        <v>24</v>
      </c>
      <c r="H38" s="2"/>
      <c r="I38" s="2"/>
      <c r="J38" s="2"/>
      <c r="K38">
        <f t="shared" si="3"/>
        <v>9.9404761904761855E-5</v>
      </c>
      <c r="M38">
        <f t="shared" si="5"/>
        <v>0.34165000000000001</v>
      </c>
    </row>
    <row r="39" spans="1:13" x14ac:dyDescent="0.25">
      <c r="A39" s="2">
        <v>45998</v>
      </c>
      <c r="B39" s="2">
        <f t="shared" si="0"/>
        <v>45998</v>
      </c>
      <c r="C39" s="2">
        <v>0.35</v>
      </c>
      <c r="D39" s="2" t="s">
        <v>24</v>
      </c>
      <c r="E39" s="2">
        <v>0.35</v>
      </c>
      <c r="F39" s="2" t="s">
        <v>24</v>
      </c>
      <c r="G39" s="2" t="s">
        <v>24</v>
      </c>
      <c r="H39" s="2"/>
      <c r="I39" s="2"/>
      <c r="J39" s="2"/>
    </row>
  </sheetData>
  <mergeCells count="14">
    <mergeCell ref="K11:K14"/>
    <mergeCell ref="L11:L14"/>
    <mergeCell ref="M11:M14"/>
    <mergeCell ref="N11:N14"/>
    <mergeCell ref="A11:A14"/>
    <mergeCell ref="I11:I14"/>
    <mergeCell ref="J11:J14"/>
    <mergeCell ref="B11:B14"/>
    <mergeCell ref="C11:G11"/>
    <mergeCell ref="C12:F12"/>
    <mergeCell ref="C13:D13"/>
    <mergeCell ref="E13:F13"/>
    <mergeCell ref="G12:G14"/>
    <mergeCell ref="H11:H1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0:N38"/>
  <sheetViews>
    <sheetView topLeftCell="C7" zoomScale="70" zoomScaleNormal="70" workbookViewId="0">
      <selection activeCell="K11" sqref="K11:N14"/>
    </sheetView>
  </sheetViews>
  <sheetFormatPr defaultRowHeight="15" x14ac:dyDescent="0.25"/>
  <cols>
    <col min="8" max="8" width="21.140625" customWidth="1"/>
    <col min="11" max="11" width="14.85546875" bestFit="1" customWidth="1"/>
  </cols>
  <sheetData>
    <row r="10" spans="1:14" ht="63" customHeight="1" x14ac:dyDescent="0.25"/>
    <row r="11" spans="1:14" x14ac:dyDescent="0.25">
      <c r="A11" s="100" t="s">
        <v>15</v>
      </c>
      <c r="B11" s="102" t="s">
        <v>27</v>
      </c>
      <c r="C11" s="105" t="s">
        <v>16</v>
      </c>
      <c r="D11" s="105"/>
      <c r="E11" s="105"/>
      <c r="F11" s="105"/>
      <c r="G11" s="105"/>
      <c r="H11" s="105" t="s">
        <v>20</v>
      </c>
      <c r="I11" s="101" t="s">
        <v>25</v>
      </c>
      <c r="J11" s="101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x14ac:dyDescent="0.25">
      <c r="A12" s="100"/>
      <c r="B12" s="103"/>
      <c r="C12" s="105" t="s">
        <v>21</v>
      </c>
      <c r="D12" s="105"/>
      <c r="E12" s="105"/>
      <c r="F12" s="105"/>
      <c r="G12" s="105" t="s">
        <v>19</v>
      </c>
      <c r="H12" s="105"/>
      <c r="I12" s="101"/>
      <c r="J12" s="101"/>
      <c r="K12" s="90"/>
      <c r="L12" s="90"/>
      <c r="M12" s="90"/>
      <c r="N12" s="90"/>
    </row>
    <row r="13" spans="1:14" x14ac:dyDescent="0.25">
      <c r="A13" s="100"/>
      <c r="B13" s="103"/>
      <c r="C13" s="105" t="s">
        <v>22</v>
      </c>
      <c r="D13" s="105"/>
      <c r="E13" s="105" t="s">
        <v>23</v>
      </c>
      <c r="F13" s="105"/>
      <c r="G13" s="105"/>
      <c r="H13" s="105"/>
      <c r="I13" s="101"/>
      <c r="J13" s="101"/>
      <c r="K13" s="90"/>
      <c r="L13" s="90"/>
      <c r="M13" s="90"/>
      <c r="N13" s="90"/>
    </row>
    <row r="14" spans="1:14" x14ac:dyDescent="0.25">
      <c r="A14" s="100"/>
      <c r="B14" s="104"/>
      <c r="C14" s="2" t="s">
        <v>17</v>
      </c>
      <c r="D14" s="2" t="s">
        <v>18</v>
      </c>
      <c r="E14" s="2" t="s">
        <v>17</v>
      </c>
      <c r="F14" s="2" t="s">
        <v>18</v>
      </c>
      <c r="G14" s="105"/>
      <c r="H14" s="105"/>
      <c r="I14" s="101"/>
      <c r="J14" s="101"/>
      <c r="K14" s="90"/>
      <c r="L14" s="90"/>
      <c r="M14" s="90"/>
      <c r="N14" s="90"/>
    </row>
    <row r="15" spans="1:14" x14ac:dyDescent="0.25">
      <c r="A15" s="2">
        <v>0</v>
      </c>
      <c r="B15" s="2">
        <f>A15-4771</f>
        <v>-4771</v>
      </c>
      <c r="C15" s="2">
        <v>3.7139999999999999E-2</v>
      </c>
      <c r="D15" s="2" t="s">
        <v>24</v>
      </c>
      <c r="E15" s="2" t="s">
        <v>24</v>
      </c>
      <c r="F15" s="2" t="s">
        <v>24</v>
      </c>
      <c r="G15" s="2">
        <v>8.0208358644150171E-2</v>
      </c>
      <c r="H15" s="2"/>
      <c r="I15" s="6">
        <f>G15/C15</f>
        <v>2.1596219344143828</v>
      </c>
      <c r="J15" s="6">
        <f>G15/0.255</f>
        <v>0.31454258291823595</v>
      </c>
    </row>
    <row r="16" spans="1:14" x14ac:dyDescent="0.25">
      <c r="A16" s="2">
        <v>2402</v>
      </c>
      <c r="B16" s="2">
        <f t="shared" ref="B16:B38" si="0">A16-4771</f>
        <v>-2369</v>
      </c>
      <c r="C16" s="2">
        <v>4.7039999999999998E-2</v>
      </c>
      <c r="D16" s="2" t="s">
        <v>24</v>
      </c>
      <c r="E16" s="2" t="s">
        <v>24</v>
      </c>
      <c r="F16" s="2" t="s">
        <v>24</v>
      </c>
      <c r="G16" s="2">
        <v>8.3368363503827009E-2</v>
      </c>
      <c r="H16" s="2"/>
      <c r="I16" s="6">
        <f t="shared" ref="I16:I37" si="1">G16/C16</f>
        <v>1.7722866391119687</v>
      </c>
      <c r="J16" s="6">
        <f t="shared" ref="J16:J37" si="2">G16/0.255</f>
        <v>0.32693475883853729</v>
      </c>
    </row>
    <row r="17" spans="1:14" x14ac:dyDescent="0.25">
      <c r="A17" s="2">
        <v>4416</v>
      </c>
      <c r="B17" s="2">
        <f t="shared" si="0"/>
        <v>-355</v>
      </c>
      <c r="C17" s="2">
        <v>4.9180000000000001E-2</v>
      </c>
      <c r="D17" s="2" t="s">
        <v>24</v>
      </c>
      <c r="E17" s="2" t="s">
        <v>24</v>
      </c>
      <c r="F17" s="2" t="s">
        <v>24</v>
      </c>
      <c r="G17" s="2">
        <v>8.5567974729680488E-2</v>
      </c>
      <c r="H17" s="2"/>
      <c r="I17" s="6">
        <f t="shared" si="1"/>
        <v>1.7398937521285174</v>
      </c>
      <c r="J17" s="6">
        <f t="shared" si="2"/>
        <v>0.33556068521443327</v>
      </c>
    </row>
    <row r="18" spans="1:14" x14ac:dyDescent="0.25">
      <c r="A18" s="7">
        <f>A19-((A19-A17)*(C19-C18)/(C19-C17))</f>
        <v>4770.7467811158804</v>
      </c>
      <c r="B18" s="8">
        <v>0</v>
      </c>
      <c r="C18" s="8">
        <v>0.05</v>
      </c>
      <c r="D18" s="8"/>
      <c r="E18" s="8"/>
      <c r="F18" s="8"/>
      <c r="G18" s="8">
        <f>C18*1.73</f>
        <v>8.6500000000000007E-2</v>
      </c>
      <c r="H18" s="8"/>
      <c r="I18" s="9">
        <f t="shared" si="1"/>
        <v>1.73</v>
      </c>
      <c r="J18" s="9">
        <f t="shared" si="2"/>
        <v>0.33921568627450982</v>
      </c>
    </row>
    <row r="19" spans="1:14" x14ac:dyDescent="0.25">
      <c r="A19" s="2">
        <v>6432</v>
      </c>
      <c r="B19" s="2">
        <f t="shared" si="0"/>
        <v>1661</v>
      </c>
      <c r="C19" s="2">
        <v>5.3839999999999999E-2</v>
      </c>
      <c r="D19" s="2" t="s">
        <v>24</v>
      </c>
      <c r="E19" s="2" t="s">
        <v>24</v>
      </c>
      <c r="F19" s="2" t="s">
        <v>24</v>
      </c>
      <c r="G19" s="2">
        <v>8.8820920908759579E-2</v>
      </c>
      <c r="H19" s="2"/>
      <c r="I19" s="6">
        <f t="shared" si="1"/>
        <v>1.6497199277258465</v>
      </c>
      <c r="J19" s="6">
        <f t="shared" si="2"/>
        <v>0.34831733689709637</v>
      </c>
      <c r="K19">
        <f>(C19-C18)/(B19-B18)</f>
        <v>2.3118603251053559E-6</v>
      </c>
      <c r="L19">
        <f>(G19-G18)/(B19-B18)</f>
        <v>1.3973033767366475E-6</v>
      </c>
      <c r="M19">
        <f>AVERAGE(C18:C19)</f>
        <v>5.1920000000000001E-2</v>
      </c>
      <c r="N19">
        <f>AVERAGE(G18:G19)</f>
        <v>8.7660460454379793E-2</v>
      </c>
    </row>
    <row r="20" spans="1:14" x14ac:dyDescent="0.25">
      <c r="A20" s="2">
        <v>8516</v>
      </c>
      <c r="B20" s="2">
        <f t="shared" si="0"/>
        <v>3745</v>
      </c>
      <c r="C20" s="2">
        <v>6.0420000000000001E-2</v>
      </c>
      <c r="D20" s="2" t="s">
        <v>24</v>
      </c>
      <c r="E20" s="2" t="s">
        <v>24</v>
      </c>
      <c r="F20" s="2" t="s">
        <v>24</v>
      </c>
      <c r="G20" s="2">
        <v>9.2879358522658259E-2</v>
      </c>
      <c r="H20" s="2"/>
      <c r="I20" s="6">
        <f t="shared" si="1"/>
        <v>1.5372287077566742</v>
      </c>
      <c r="J20" s="6">
        <f t="shared" si="2"/>
        <v>0.36423277852022845</v>
      </c>
      <c r="K20">
        <f t="shared" ref="K20:K37" si="3">(C20-C19)/(B20-B19)</f>
        <v>3.1573896353166999E-6</v>
      </c>
      <c r="L20">
        <f t="shared" ref="L20:L37" si="4">(G20-G19)/(B20-B19)</f>
        <v>1.9474268780703839E-6</v>
      </c>
      <c r="M20">
        <f t="shared" ref="M20:M37" si="5">AVERAGE(C19:C20)</f>
        <v>5.713E-2</v>
      </c>
      <c r="N20">
        <f t="shared" ref="N20:N34" si="6">AVERAGE(G19:G20)</f>
        <v>9.0850139715708919E-2</v>
      </c>
    </row>
    <row r="21" spans="1:14" x14ac:dyDescent="0.25">
      <c r="A21" s="2">
        <v>10581</v>
      </c>
      <c r="B21" s="2">
        <f t="shared" si="0"/>
        <v>5810</v>
      </c>
      <c r="C21" s="2">
        <v>6.4320000000000002E-2</v>
      </c>
      <c r="D21" s="2" t="s">
        <v>24</v>
      </c>
      <c r="E21" s="2" t="s">
        <v>24</v>
      </c>
      <c r="F21" s="2" t="s">
        <v>24</v>
      </c>
      <c r="G21" s="2">
        <v>9.8331915927590816E-2</v>
      </c>
      <c r="H21" s="2"/>
      <c r="I21" s="6">
        <f t="shared" si="1"/>
        <v>1.5287922252423944</v>
      </c>
      <c r="J21" s="6">
        <f t="shared" si="2"/>
        <v>0.38561535657878748</v>
      </c>
      <c r="K21">
        <f t="shared" si="3"/>
        <v>1.8886198547215499E-6</v>
      </c>
      <c r="L21">
        <f t="shared" si="4"/>
        <v>2.6404636343499063E-6</v>
      </c>
      <c r="M21">
        <f t="shared" si="5"/>
        <v>6.2370000000000002E-2</v>
      </c>
      <c r="N21">
        <f t="shared" si="6"/>
        <v>9.5605637225124537E-2</v>
      </c>
    </row>
    <row r="22" spans="1:14" x14ac:dyDescent="0.25">
      <c r="A22" s="2">
        <v>12654</v>
      </c>
      <c r="B22" s="2">
        <f t="shared" si="0"/>
        <v>7883</v>
      </c>
      <c r="C22" s="2">
        <v>6.8599999999999994E-2</v>
      </c>
      <c r="D22" s="2" t="s">
        <v>24</v>
      </c>
      <c r="E22" s="2" t="s">
        <v>24</v>
      </c>
      <c r="F22" s="2" t="s">
        <v>24</v>
      </c>
      <c r="G22" s="2">
        <v>0.10626290851658365</v>
      </c>
      <c r="H22" s="2"/>
      <c r="I22" s="6">
        <f t="shared" si="1"/>
        <v>1.5490219900376627</v>
      </c>
      <c r="J22" s="6">
        <f t="shared" si="2"/>
        <v>0.41671728830032806</v>
      </c>
      <c r="K22">
        <f t="shared" si="3"/>
        <v>2.0646406174626108E-6</v>
      </c>
      <c r="L22">
        <f t="shared" si="4"/>
        <v>3.8258526719695317E-6</v>
      </c>
      <c r="M22">
        <f t="shared" si="5"/>
        <v>6.6459999999999991E-2</v>
      </c>
      <c r="N22">
        <f t="shared" si="6"/>
        <v>0.10229741222208724</v>
      </c>
    </row>
    <row r="23" spans="1:14" x14ac:dyDescent="0.25">
      <c r="A23" s="2">
        <v>15984</v>
      </c>
      <c r="B23" s="2">
        <f t="shared" si="0"/>
        <v>11213</v>
      </c>
      <c r="C23" s="2">
        <v>7.2700000000000001E-2</v>
      </c>
      <c r="D23" s="2" t="s">
        <v>24</v>
      </c>
      <c r="E23" s="2" t="s">
        <v>24</v>
      </c>
      <c r="F23" s="2" t="s">
        <v>24</v>
      </c>
      <c r="G23" s="2">
        <v>0.11205625075932452</v>
      </c>
      <c r="H23" s="2"/>
      <c r="I23" s="6">
        <f t="shared" si="1"/>
        <v>1.5413514547362381</v>
      </c>
      <c r="J23" s="6">
        <f t="shared" si="2"/>
        <v>0.4394362774875471</v>
      </c>
      <c r="K23">
        <f t="shared" si="3"/>
        <v>1.2312312312312331E-6</v>
      </c>
      <c r="L23">
        <f t="shared" si="4"/>
        <v>1.739742415237496E-6</v>
      </c>
      <c r="M23">
        <f t="shared" si="5"/>
        <v>7.0649999999999991E-2</v>
      </c>
      <c r="N23">
        <f t="shared" si="6"/>
        <v>0.10915957963795409</v>
      </c>
    </row>
    <row r="24" spans="1:14" x14ac:dyDescent="0.25">
      <c r="A24" s="2">
        <v>18762</v>
      </c>
      <c r="B24" s="2">
        <f t="shared" si="0"/>
        <v>13991</v>
      </c>
      <c r="C24" s="2">
        <v>8.1140000000000004E-2</v>
      </c>
      <c r="D24" s="2" t="s">
        <v>24</v>
      </c>
      <c r="E24" s="2" t="s">
        <v>24</v>
      </c>
      <c r="F24" s="2" t="s">
        <v>24</v>
      </c>
      <c r="G24" s="2">
        <v>0.11639351233142997</v>
      </c>
      <c r="H24" s="2"/>
      <c r="I24" s="6">
        <f t="shared" si="1"/>
        <v>1.4344775983661568</v>
      </c>
      <c r="J24" s="6">
        <f t="shared" si="2"/>
        <v>0.45644514639776457</v>
      </c>
      <c r="K24">
        <f t="shared" si="3"/>
        <v>3.0381569474442054E-6</v>
      </c>
      <c r="L24">
        <f t="shared" si="4"/>
        <v>1.5612892628169385E-6</v>
      </c>
      <c r="M24">
        <f t="shared" si="5"/>
        <v>7.6920000000000002E-2</v>
      </c>
      <c r="N24">
        <f t="shared" si="6"/>
        <v>0.11422488154537724</v>
      </c>
    </row>
    <row r="25" spans="1:14" x14ac:dyDescent="0.25">
      <c r="A25" s="2">
        <v>20768</v>
      </c>
      <c r="B25" s="2">
        <f t="shared" si="0"/>
        <v>15997</v>
      </c>
      <c r="C25" s="2">
        <v>9.0399999999999994E-2</v>
      </c>
      <c r="D25" s="2" t="s">
        <v>24</v>
      </c>
      <c r="E25" s="2" t="s">
        <v>24</v>
      </c>
      <c r="F25" s="2" t="s">
        <v>24</v>
      </c>
      <c r="G25" s="2">
        <v>0.12166018709755802</v>
      </c>
      <c r="H25" s="2"/>
      <c r="I25" s="6">
        <f t="shared" si="1"/>
        <v>1.3457985298402437</v>
      </c>
      <c r="J25" s="6">
        <f t="shared" si="2"/>
        <v>0.47709877293160008</v>
      </c>
      <c r="K25">
        <f t="shared" si="3"/>
        <v>4.6161515453639038E-6</v>
      </c>
      <c r="L25">
        <f t="shared" si="4"/>
        <v>2.6254610000638329E-6</v>
      </c>
      <c r="M25">
        <f t="shared" si="5"/>
        <v>8.5769999999999999E-2</v>
      </c>
      <c r="N25">
        <f t="shared" si="6"/>
        <v>0.119026849714494</v>
      </c>
    </row>
    <row r="26" spans="1:14" x14ac:dyDescent="0.25">
      <c r="A26" s="2">
        <v>22900</v>
      </c>
      <c r="B26" s="2">
        <f t="shared" si="0"/>
        <v>18129</v>
      </c>
      <c r="C26" s="2">
        <v>9.7000000000000003E-2</v>
      </c>
      <c r="D26" s="2" t="s">
        <v>24</v>
      </c>
      <c r="E26" s="2" t="s">
        <v>24</v>
      </c>
      <c r="F26" s="2" t="s">
        <v>24</v>
      </c>
      <c r="G26" s="2">
        <v>0.12584254647065973</v>
      </c>
      <c r="H26" s="2"/>
      <c r="I26" s="6">
        <f t="shared" si="1"/>
        <v>1.2973458399037086</v>
      </c>
      <c r="J26" s="6">
        <f t="shared" si="2"/>
        <v>0.49350018223788128</v>
      </c>
      <c r="K26">
        <f t="shared" si="3"/>
        <v>3.0956848030018803E-6</v>
      </c>
      <c r="L26">
        <f t="shared" si="4"/>
        <v>1.9617070230308222E-6</v>
      </c>
      <c r="M26">
        <f t="shared" si="5"/>
        <v>9.3700000000000006E-2</v>
      </c>
      <c r="N26">
        <f t="shared" si="6"/>
        <v>0.12375136678410888</v>
      </c>
    </row>
    <row r="27" spans="1:14" x14ac:dyDescent="0.25">
      <c r="A27" s="2">
        <v>24893</v>
      </c>
      <c r="B27" s="2">
        <f t="shared" si="0"/>
        <v>20122</v>
      </c>
      <c r="C27" s="2">
        <v>0.10152</v>
      </c>
      <c r="D27" s="2" t="s">
        <v>24</v>
      </c>
      <c r="E27" s="2" t="s">
        <v>24</v>
      </c>
      <c r="F27" s="2" t="s">
        <v>24</v>
      </c>
      <c r="G27" s="2">
        <v>0.13420726521686308</v>
      </c>
      <c r="H27" s="2"/>
      <c r="I27" s="6">
        <f t="shared" si="1"/>
        <v>1.3219785777862794</v>
      </c>
      <c r="J27" s="6">
        <f t="shared" si="2"/>
        <v>0.52630300085044346</v>
      </c>
      <c r="K27">
        <f t="shared" si="3"/>
        <v>2.2679377822378307E-6</v>
      </c>
      <c r="L27">
        <f t="shared" si="4"/>
        <v>4.1970490447583251E-6</v>
      </c>
      <c r="M27">
        <f t="shared" si="5"/>
        <v>9.9260000000000001E-2</v>
      </c>
      <c r="N27">
        <f t="shared" si="6"/>
        <v>0.13002490584376142</v>
      </c>
    </row>
    <row r="28" spans="1:14" x14ac:dyDescent="0.25">
      <c r="A28" s="2">
        <v>26915</v>
      </c>
      <c r="B28" s="2">
        <f t="shared" si="0"/>
        <v>22144</v>
      </c>
      <c r="C28" s="2">
        <v>0.10664</v>
      </c>
      <c r="D28" s="2" t="s">
        <v>24</v>
      </c>
      <c r="E28" s="2" t="s">
        <v>24</v>
      </c>
      <c r="F28" s="2" t="s">
        <v>24</v>
      </c>
      <c r="G28" s="2">
        <v>0.13473393269347592</v>
      </c>
      <c r="H28" s="2"/>
      <c r="I28" s="6">
        <f t="shared" si="1"/>
        <v>1.263446480621492</v>
      </c>
      <c r="J28" s="6">
        <f t="shared" si="2"/>
        <v>0.5283683635038271</v>
      </c>
      <c r="K28">
        <f t="shared" si="3"/>
        <v>2.5321463897131551E-6</v>
      </c>
      <c r="L28">
        <f t="shared" si="4"/>
        <v>2.6046858388369978E-7</v>
      </c>
      <c r="M28">
        <f t="shared" si="5"/>
        <v>0.10408000000000001</v>
      </c>
      <c r="N28">
        <f t="shared" si="6"/>
        <v>0.1344705989551695</v>
      </c>
    </row>
    <row r="29" spans="1:14" x14ac:dyDescent="0.25">
      <c r="A29" s="2">
        <v>28949</v>
      </c>
      <c r="B29" s="2">
        <f t="shared" si="0"/>
        <v>24178</v>
      </c>
      <c r="C29" s="2">
        <v>0.11712</v>
      </c>
      <c r="D29" s="2" t="s">
        <v>24</v>
      </c>
      <c r="E29" s="2" t="s">
        <v>24</v>
      </c>
      <c r="F29" s="2" t="s">
        <v>24</v>
      </c>
      <c r="G29" s="2">
        <v>0.14204531648645366</v>
      </c>
      <c r="H29" s="2"/>
      <c r="I29" s="6">
        <f t="shared" si="1"/>
        <v>1.2128186175414417</v>
      </c>
      <c r="J29" s="6">
        <f t="shared" si="2"/>
        <v>0.55704045680962222</v>
      </c>
      <c r="K29">
        <f t="shared" si="3"/>
        <v>5.1524090462143578E-6</v>
      </c>
      <c r="L29">
        <f t="shared" si="4"/>
        <v>3.5945839690156066E-6</v>
      </c>
      <c r="M29">
        <f t="shared" si="5"/>
        <v>0.11188000000000001</v>
      </c>
      <c r="N29">
        <f t="shared" si="6"/>
        <v>0.13838962458996479</v>
      </c>
    </row>
    <row r="30" spans="1:14" x14ac:dyDescent="0.25">
      <c r="A30" s="2">
        <v>30957</v>
      </c>
      <c r="B30" s="2">
        <f t="shared" si="0"/>
        <v>26186</v>
      </c>
      <c r="C30" s="2">
        <v>0.1303</v>
      </c>
      <c r="D30" s="2" t="s">
        <v>24</v>
      </c>
      <c r="E30" s="2" t="s">
        <v>24</v>
      </c>
      <c r="F30" s="2" t="s">
        <v>24</v>
      </c>
      <c r="G30" s="2">
        <v>0.14783865872919452</v>
      </c>
      <c r="H30" s="2"/>
      <c r="I30" s="6">
        <f t="shared" si="1"/>
        <v>1.1346021391342633</v>
      </c>
      <c r="J30" s="6">
        <f t="shared" si="2"/>
        <v>0.57975944599684126</v>
      </c>
      <c r="K30">
        <f t="shared" si="3"/>
        <v>6.5637450199203177E-6</v>
      </c>
      <c r="L30">
        <f t="shared" si="4"/>
        <v>2.885130598974533E-6</v>
      </c>
      <c r="M30">
        <f t="shared" si="5"/>
        <v>0.12371</v>
      </c>
      <c r="N30">
        <f t="shared" si="6"/>
        <v>0.14494198760782409</v>
      </c>
    </row>
    <row r="31" spans="1:14" x14ac:dyDescent="0.25">
      <c r="A31" s="2">
        <v>32966</v>
      </c>
      <c r="B31" s="2">
        <f t="shared" si="0"/>
        <v>28195</v>
      </c>
      <c r="C31" s="2">
        <v>0.14444000000000001</v>
      </c>
      <c r="D31" s="2" t="s">
        <v>24</v>
      </c>
      <c r="E31" s="2" t="s">
        <v>24</v>
      </c>
      <c r="F31" s="2" t="s">
        <v>24</v>
      </c>
      <c r="G31" s="2">
        <v>0.15542886648037907</v>
      </c>
      <c r="H31" s="2"/>
      <c r="I31" s="6">
        <f t="shared" si="1"/>
        <v>1.0760791088367423</v>
      </c>
      <c r="J31" s="6">
        <f t="shared" si="2"/>
        <v>0.60952496658972177</v>
      </c>
      <c r="K31">
        <f t="shared" si="3"/>
        <v>7.0383275261324109E-6</v>
      </c>
      <c r="L31">
        <f t="shared" si="4"/>
        <v>3.7781024147260063E-6</v>
      </c>
      <c r="M31">
        <f t="shared" si="5"/>
        <v>0.13736999999999999</v>
      </c>
      <c r="N31">
        <f t="shared" si="6"/>
        <v>0.15163376260478678</v>
      </c>
    </row>
    <row r="32" spans="1:14" x14ac:dyDescent="0.25">
      <c r="A32" s="2">
        <v>35983</v>
      </c>
      <c r="B32" s="2">
        <f t="shared" si="0"/>
        <v>31212</v>
      </c>
      <c r="C32" s="2">
        <v>0.15937999999999999</v>
      </c>
      <c r="D32" s="2" t="s">
        <v>24</v>
      </c>
      <c r="E32" s="2" t="s">
        <v>24</v>
      </c>
      <c r="F32" s="2" t="s">
        <v>24</v>
      </c>
      <c r="G32" s="2">
        <v>0.16506378325841334</v>
      </c>
      <c r="H32" s="2"/>
      <c r="I32" s="6">
        <f t="shared" si="1"/>
        <v>1.0356618349756139</v>
      </c>
      <c r="J32" s="6">
        <f t="shared" si="2"/>
        <v>0.64730895395456212</v>
      </c>
      <c r="K32">
        <f t="shared" si="3"/>
        <v>4.9519390122638317E-6</v>
      </c>
      <c r="L32">
        <f t="shared" si="4"/>
        <v>3.1935421869520281E-6</v>
      </c>
      <c r="M32">
        <f t="shared" si="5"/>
        <v>0.15190999999999999</v>
      </c>
      <c r="N32">
        <f t="shared" si="6"/>
        <v>0.16024632486939622</v>
      </c>
    </row>
    <row r="33" spans="1:14" x14ac:dyDescent="0.25">
      <c r="A33" s="2">
        <v>39180</v>
      </c>
      <c r="B33" s="2">
        <f t="shared" si="0"/>
        <v>34409</v>
      </c>
      <c r="C33" s="2">
        <v>0.17638000000000001</v>
      </c>
      <c r="D33" s="2" t="s">
        <v>24</v>
      </c>
      <c r="E33" s="2" t="s">
        <v>24</v>
      </c>
      <c r="F33" s="2" t="s">
        <v>24</v>
      </c>
      <c r="G33" s="2">
        <v>0.19396853359251612</v>
      </c>
      <c r="H33" s="2"/>
      <c r="I33" s="6">
        <f t="shared" si="1"/>
        <v>1.0997195463914056</v>
      </c>
      <c r="J33" s="6">
        <f t="shared" si="2"/>
        <v>0.76066091604908281</v>
      </c>
      <c r="K33">
        <f t="shared" si="3"/>
        <v>5.3174851423209306E-6</v>
      </c>
      <c r="L33">
        <f t="shared" si="4"/>
        <v>9.0412106143580786E-6</v>
      </c>
      <c r="M33">
        <f t="shared" si="5"/>
        <v>0.16788</v>
      </c>
      <c r="N33">
        <f t="shared" si="6"/>
        <v>0.17951615842546473</v>
      </c>
    </row>
    <row r="34" spans="1:14" x14ac:dyDescent="0.25">
      <c r="A34" s="2">
        <v>42594</v>
      </c>
      <c r="B34" s="2">
        <f t="shared" si="0"/>
        <v>37823</v>
      </c>
      <c r="C34" s="2">
        <v>0.20188</v>
      </c>
      <c r="D34" s="2" t="s">
        <v>24</v>
      </c>
      <c r="E34" s="2" t="s">
        <v>24</v>
      </c>
      <c r="F34" s="2" t="s">
        <v>24</v>
      </c>
      <c r="G34" s="2">
        <v>0.21441562386101326</v>
      </c>
      <c r="H34" s="2"/>
      <c r="I34" s="6">
        <f t="shared" si="1"/>
        <v>1.0620944316475791</v>
      </c>
      <c r="J34" s="6">
        <f t="shared" si="2"/>
        <v>0.84084558376867946</v>
      </c>
      <c r="K34">
        <f t="shared" si="3"/>
        <v>7.4692442882249543E-6</v>
      </c>
      <c r="L34">
        <f t="shared" si="4"/>
        <v>5.9891887136781323E-6</v>
      </c>
      <c r="M34">
        <f t="shared" si="5"/>
        <v>0.18913000000000002</v>
      </c>
      <c r="N34">
        <f t="shared" si="6"/>
        <v>0.2041920787267647</v>
      </c>
    </row>
    <row r="35" spans="1:14" x14ac:dyDescent="0.25">
      <c r="A35" s="2">
        <v>45098</v>
      </c>
      <c r="B35" s="2">
        <f t="shared" si="0"/>
        <v>40327</v>
      </c>
      <c r="C35" s="2">
        <v>0.22797999999999999</v>
      </c>
      <c r="D35" s="2" t="s">
        <v>24</v>
      </c>
      <c r="E35" s="2" t="s">
        <v>24</v>
      </c>
      <c r="F35" s="2" t="s">
        <v>24</v>
      </c>
      <c r="G35" s="2">
        <v>0.2242674037176528</v>
      </c>
      <c r="H35" s="2"/>
      <c r="I35" s="6">
        <f t="shared" si="1"/>
        <v>0.98371525448571284</v>
      </c>
      <c r="J35" s="6">
        <f t="shared" si="2"/>
        <v>0.87948001457903058</v>
      </c>
      <c r="K35">
        <f t="shared" si="3"/>
        <v>1.0423322683706065E-5</v>
      </c>
      <c r="L35">
        <f t="shared" si="4"/>
        <v>3.9344168756547695E-6</v>
      </c>
      <c r="M35">
        <f t="shared" si="5"/>
        <v>0.21493000000000001</v>
      </c>
      <c r="N35">
        <f>AVERAGE(G34:G35)</f>
        <v>0.21934151378933303</v>
      </c>
    </row>
    <row r="36" spans="1:14" x14ac:dyDescent="0.25">
      <c r="A36" s="2">
        <v>47660</v>
      </c>
      <c r="B36" s="2">
        <f t="shared" si="0"/>
        <v>42889</v>
      </c>
      <c r="C36" s="2">
        <v>0.26516000000000001</v>
      </c>
      <c r="D36" s="2" t="s">
        <v>24</v>
      </c>
      <c r="E36" s="2" t="s">
        <v>24</v>
      </c>
      <c r="F36" s="2" t="s">
        <v>24</v>
      </c>
      <c r="G36" s="2">
        <v>0.2242674037176528</v>
      </c>
      <c r="H36" s="2"/>
      <c r="I36" s="6">
        <f t="shared" si="1"/>
        <v>0.84578142901513353</v>
      </c>
      <c r="J36" s="6">
        <f t="shared" si="2"/>
        <v>0.87948001457903058</v>
      </c>
      <c r="K36">
        <f t="shared" si="3"/>
        <v>1.4512099921935995E-5</v>
      </c>
      <c r="L36">
        <f t="shared" si="4"/>
        <v>0</v>
      </c>
      <c r="M36">
        <f t="shared" si="5"/>
        <v>0.24657000000000001</v>
      </c>
      <c r="N36">
        <f t="shared" ref="N36:N37" si="7">AVERAGE(G35:G36)</f>
        <v>0.2242674037176528</v>
      </c>
    </row>
    <row r="37" spans="1:14" x14ac:dyDescent="0.25">
      <c r="A37" s="2">
        <v>49809</v>
      </c>
      <c r="B37" s="2">
        <f t="shared" si="0"/>
        <v>45038</v>
      </c>
      <c r="C37" s="2">
        <v>0.29871999999999999</v>
      </c>
      <c r="D37" s="2" t="s">
        <v>24</v>
      </c>
      <c r="E37" s="2">
        <v>6.8860000000000005E-2</v>
      </c>
      <c r="F37" s="2" t="s">
        <v>24</v>
      </c>
      <c r="G37" s="2">
        <v>0.25</v>
      </c>
      <c r="H37" s="2"/>
      <c r="I37" s="2">
        <f t="shared" si="1"/>
        <v>0.83690412426352445</v>
      </c>
      <c r="J37" s="2">
        <f t="shared" si="2"/>
        <v>0.98039215686274506</v>
      </c>
      <c r="K37">
        <f t="shared" si="3"/>
        <v>1.5616565844578866E-5</v>
      </c>
      <c r="L37">
        <f t="shared" si="4"/>
        <v>1.1974218837760446E-5</v>
      </c>
      <c r="M37">
        <f t="shared" si="5"/>
        <v>0.28193999999999997</v>
      </c>
      <c r="N37">
        <f t="shared" si="7"/>
        <v>0.2371337018588264</v>
      </c>
    </row>
    <row r="38" spans="1:14" x14ac:dyDescent="0.25">
      <c r="A38" s="2">
        <v>51797</v>
      </c>
      <c r="B38" s="2">
        <f t="shared" si="0"/>
        <v>47026</v>
      </c>
      <c r="C38" s="2">
        <v>0.35639999999999999</v>
      </c>
      <c r="D38" s="2"/>
      <c r="E38" s="2">
        <v>0.35639999999999999</v>
      </c>
      <c r="F38" s="2"/>
      <c r="G38" s="2"/>
      <c r="H38" s="2"/>
      <c r="I38" s="2"/>
      <c r="J38" s="2"/>
      <c r="K38">
        <f>(C38-C37)/(B38-B37)</f>
        <v>2.9014084507042257E-5</v>
      </c>
      <c r="M38">
        <f>AVERAGE(C37:C38)</f>
        <v>0.32755999999999996</v>
      </c>
    </row>
  </sheetData>
  <mergeCells count="14">
    <mergeCell ref="K11:K14"/>
    <mergeCell ref="L11:L14"/>
    <mergeCell ref="M11:M14"/>
    <mergeCell ref="N11:N14"/>
    <mergeCell ref="I11:I14"/>
    <mergeCell ref="J11:J14"/>
    <mergeCell ref="B11:B14"/>
    <mergeCell ref="A11:A14"/>
    <mergeCell ref="C11:G11"/>
    <mergeCell ref="H11:H14"/>
    <mergeCell ref="C12:F12"/>
    <mergeCell ref="G12:G14"/>
    <mergeCell ref="C13:D13"/>
    <mergeCell ref="E13:F1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0:N42"/>
  <sheetViews>
    <sheetView topLeftCell="B1" zoomScale="70" zoomScaleNormal="70" workbookViewId="0">
      <selection activeCell="K11" sqref="K11:N14"/>
    </sheetView>
  </sheetViews>
  <sheetFormatPr defaultRowHeight="15" x14ac:dyDescent="0.25"/>
  <cols>
    <col min="8" max="8" width="21.140625" customWidth="1"/>
  </cols>
  <sheetData>
    <row r="10" spans="1:14" ht="53.45" customHeight="1" x14ac:dyDescent="0.25"/>
    <row r="11" spans="1:14" x14ac:dyDescent="0.25">
      <c r="A11" s="100" t="s">
        <v>15</v>
      </c>
      <c r="B11" s="100" t="s">
        <v>27</v>
      </c>
      <c r="C11" s="105" t="s">
        <v>16</v>
      </c>
      <c r="D11" s="105"/>
      <c r="E11" s="105"/>
      <c r="F11" s="105"/>
      <c r="G11" s="105"/>
      <c r="H11" s="105" t="s">
        <v>20</v>
      </c>
      <c r="I11" s="106" t="s">
        <v>25</v>
      </c>
      <c r="J11" s="106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x14ac:dyDescent="0.25">
      <c r="A12" s="100"/>
      <c r="B12" s="100"/>
      <c r="C12" s="105" t="s">
        <v>21</v>
      </c>
      <c r="D12" s="105"/>
      <c r="E12" s="105"/>
      <c r="F12" s="105"/>
      <c r="G12" s="105" t="s">
        <v>19</v>
      </c>
      <c r="H12" s="105"/>
      <c r="I12" s="107"/>
      <c r="J12" s="107"/>
      <c r="K12" s="90"/>
      <c r="L12" s="90"/>
      <c r="M12" s="90"/>
      <c r="N12" s="90"/>
    </row>
    <row r="13" spans="1:14" x14ac:dyDescent="0.25">
      <c r="A13" s="100"/>
      <c r="B13" s="100"/>
      <c r="C13" s="105" t="s">
        <v>22</v>
      </c>
      <c r="D13" s="105"/>
      <c r="E13" s="105" t="s">
        <v>23</v>
      </c>
      <c r="F13" s="105"/>
      <c r="G13" s="105"/>
      <c r="H13" s="105"/>
      <c r="I13" s="107"/>
      <c r="J13" s="107"/>
      <c r="K13" s="90"/>
      <c r="L13" s="90"/>
      <c r="M13" s="90"/>
      <c r="N13" s="90"/>
    </row>
    <row r="14" spans="1:14" x14ac:dyDescent="0.25">
      <c r="A14" s="100"/>
      <c r="B14" s="100"/>
      <c r="C14" s="2" t="s">
        <v>17</v>
      </c>
      <c r="D14" s="2" t="s">
        <v>18</v>
      </c>
      <c r="E14" s="2" t="s">
        <v>17</v>
      </c>
      <c r="F14" s="2" t="s">
        <v>18</v>
      </c>
      <c r="G14" s="105"/>
      <c r="H14" s="105"/>
      <c r="I14" s="108"/>
      <c r="J14" s="108"/>
      <c r="K14" s="90"/>
      <c r="L14" s="90"/>
      <c r="M14" s="90"/>
      <c r="N14" s="90"/>
    </row>
    <row r="15" spans="1:14" x14ac:dyDescent="0.25">
      <c r="A15" s="2">
        <v>0</v>
      </c>
      <c r="B15" s="2">
        <f>A15-10206</f>
        <v>-10206</v>
      </c>
      <c r="C15" s="2">
        <v>3.6540000000000003E-2</v>
      </c>
      <c r="D15" s="2" t="s">
        <v>24</v>
      </c>
      <c r="E15" s="2" t="s">
        <v>24</v>
      </c>
      <c r="F15" s="2" t="s">
        <v>24</v>
      </c>
      <c r="G15" s="2">
        <v>5.6694401041666669E-2</v>
      </c>
      <c r="H15" s="2"/>
      <c r="I15" s="6">
        <f>G15/C15</f>
        <v>1.5515709097336252</v>
      </c>
      <c r="J15" s="6">
        <f>G15/0.253</f>
        <v>0.22408854166666667</v>
      </c>
    </row>
    <row r="16" spans="1:14" x14ac:dyDescent="0.25">
      <c r="A16" s="2">
        <v>2884</v>
      </c>
      <c r="B16" s="2">
        <f t="shared" ref="B16:B42" si="0">A16-10206</f>
        <v>-7322</v>
      </c>
      <c r="C16" s="2">
        <v>3.7839999999999999E-2</v>
      </c>
      <c r="D16" s="2" t="s">
        <v>24</v>
      </c>
      <c r="E16" s="2" t="s">
        <v>24</v>
      </c>
      <c r="F16" s="2" t="s">
        <v>24</v>
      </c>
      <c r="G16" s="2">
        <v>5.9296874999999999E-2</v>
      </c>
      <c r="H16" s="2"/>
      <c r="I16" s="6">
        <f t="shared" ref="I16:I34" si="1">G16/C16</f>
        <v>1.5670421511627908</v>
      </c>
      <c r="J16" s="6">
        <f t="shared" ref="J16:J34" si="2">G16/0.253</f>
        <v>0.234375</v>
      </c>
    </row>
    <row r="17" spans="1:14" x14ac:dyDescent="0.25">
      <c r="A17" s="2">
        <v>4894</v>
      </c>
      <c r="B17" s="2">
        <f t="shared" si="0"/>
        <v>-5312</v>
      </c>
      <c r="C17" s="2">
        <v>4.4359999999999997E-2</v>
      </c>
      <c r="D17" s="2" t="s">
        <v>24</v>
      </c>
      <c r="E17" s="2" t="s">
        <v>24</v>
      </c>
      <c r="F17" s="2" t="s">
        <v>24</v>
      </c>
      <c r="G17" s="2">
        <v>5.9626302083333346E-2</v>
      </c>
      <c r="H17" s="2"/>
      <c r="I17" s="6">
        <f t="shared" si="1"/>
        <v>1.3441456736549449</v>
      </c>
      <c r="J17" s="6">
        <f t="shared" si="2"/>
        <v>0.23567708333333337</v>
      </c>
    </row>
    <row r="18" spans="1:14" x14ac:dyDescent="0.25">
      <c r="A18" s="2">
        <v>7215</v>
      </c>
      <c r="B18" s="2">
        <f t="shared" si="0"/>
        <v>-2991</v>
      </c>
      <c r="C18" s="2">
        <v>4.632E-2</v>
      </c>
      <c r="D18" s="2" t="s">
        <v>24</v>
      </c>
      <c r="E18" s="2" t="s">
        <v>24</v>
      </c>
      <c r="F18" s="2" t="s">
        <v>24</v>
      </c>
      <c r="G18" s="2">
        <v>6.0120442708333333E-2</v>
      </c>
      <c r="H18" s="2"/>
      <c r="I18" s="6">
        <f t="shared" si="1"/>
        <v>1.2979370187464019</v>
      </c>
      <c r="J18" s="6">
        <f t="shared" si="2"/>
        <v>0.23763020833333331</v>
      </c>
    </row>
    <row r="19" spans="1:14" x14ac:dyDescent="0.25">
      <c r="A19" s="8">
        <v>10206</v>
      </c>
      <c r="B19" s="8">
        <f t="shared" si="0"/>
        <v>0</v>
      </c>
      <c r="C19" s="8">
        <v>5.0700000000000002E-2</v>
      </c>
      <c r="D19" s="8" t="s">
        <v>24</v>
      </c>
      <c r="E19" s="8" t="s">
        <v>24</v>
      </c>
      <c r="F19" s="8" t="s">
        <v>24</v>
      </c>
      <c r="G19" s="8">
        <v>6.6412500000000013E-2</v>
      </c>
      <c r="H19" s="8"/>
      <c r="I19" s="9">
        <f t="shared" si="1"/>
        <v>1.3099112426035504</v>
      </c>
      <c r="J19" s="9">
        <f t="shared" si="2"/>
        <v>0.26250000000000007</v>
      </c>
    </row>
    <row r="20" spans="1:14" x14ac:dyDescent="0.25">
      <c r="A20" s="2">
        <v>13494</v>
      </c>
      <c r="B20" s="2">
        <f t="shared" si="0"/>
        <v>3288</v>
      </c>
      <c r="C20" s="2">
        <v>5.3699999999999998E-2</v>
      </c>
      <c r="D20" s="2" t="s">
        <v>24</v>
      </c>
      <c r="E20" s="2" t="s">
        <v>24</v>
      </c>
      <c r="F20" s="2" t="s">
        <v>24</v>
      </c>
      <c r="G20" s="2">
        <v>6.7071354166666666E-2</v>
      </c>
      <c r="H20" s="2"/>
      <c r="I20" s="6">
        <f t="shared" si="1"/>
        <v>1.2490010086902545</v>
      </c>
      <c r="J20" s="6">
        <f t="shared" si="2"/>
        <v>0.26510416666666664</v>
      </c>
      <c r="K20">
        <f>(C20-C19)/(B20-B19)</f>
        <v>9.1240875912408625E-7</v>
      </c>
      <c r="L20">
        <f>(G20-G19)/(B20-B19)</f>
        <v>2.0038143755068523E-7</v>
      </c>
      <c r="M20">
        <f>AVERAGE(C19:C20)</f>
        <v>5.2199999999999996E-2</v>
      </c>
      <c r="N20">
        <f>AVERAGE(G19:G20)</f>
        <v>6.6741927083333347E-2</v>
      </c>
    </row>
    <row r="21" spans="1:14" x14ac:dyDescent="0.25">
      <c r="A21" s="2">
        <v>17659</v>
      </c>
      <c r="B21" s="2">
        <f t="shared" si="0"/>
        <v>7453</v>
      </c>
      <c r="C21" s="2">
        <v>6.3280000000000003E-2</v>
      </c>
      <c r="D21" s="2" t="s">
        <v>24</v>
      </c>
      <c r="E21" s="2" t="s">
        <v>24</v>
      </c>
      <c r="F21" s="2" t="s">
        <v>24</v>
      </c>
      <c r="G21" s="2">
        <v>7.4549348958333345E-2</v>
      </c>
      <c r="H21" s="2"/>
      <c r="I21" s="6">
        <f t="shared" si="1"/>
        <v>1.1780870568636748</v>
      </c>
      <c r="J21" s="6">
        <f t="shared" si="2"/>
        <v>0.29466145833333335</v>
      </c>
      <c r="K21">
        <f t="shared" ref="K21:K38" si="3">(C21-C20)/(B21-B20)</f>
        <v>2.3001200480192091E-6</v>
      </c>
      <c r="L21">
        <f t="shared" ref="L21:L34" si="4">(G21-G20)/(B21-B20)</f>
        <v>1.7954369247699107E-6</v>
      </c>
      <c r="M21">
        <f t="shared" ref="M21:M38" si="5">AVERAGE(C20:C21)</f>
        <v>5.849E-2</v>
      </c>
      <c r="N21">
        <f t="shared" ref="N21:N34" si="6">AVERAGE(G20:G21)</f>
        <v>7.0810351562500012E-2</v>
      </c>
    </row>
    <row r="22" spans="1:14" x14ac:dyDescent="0.25">
      <c r="A22" s="2">
        <v>20656</v>
      </c>
      <c r="B22" s="2">
        <f t="shared" si="0"/>
        <v>10450</v>
      </c>
      <c r="C22" s="2">
        <v>6.5619999999999998E-2</v>
      </c>
      <c r="D22" s="2" t="s">
        <v>24</v>
      </c>
      <c r="E22" s="2" t="s">
        <v>24</v>
      </c>
      <c r="F22" s="2" t="s">
        <v>24</v>
      </c>
      <c r="G22" s="2">
        <v>8.1368489583333342E-2</v>
      </c>
      <c r="H22" s="2"/>
      <c r="I22" s="6">
        <f t="shared" si="1"/>
        <v>1.2399952694808496</v>
      </c>
      <c r="J22" s="6">
        <f t="shared" si="2"/>
        <v>0.32161458333333337</v>
      </c>
      <c r="K22">
        <f t="shared" si="3"/>
        <v>7.8078078078077904E-7</v>
      </c>
      <c r="L22">
        <f t="shared" si="4"/>
        <v>2.2753221971971965E-6</v>
      </c>
      <c r="M22">
        <f t="shared" si="5"/>
        <v>6.4450000000000007E-2</v>
      </c>
      <c r="N22">
        <f t="shared" si="6"/>
        <v>7.7958919270833343E-2</v>
      </c>
    </row>
    <row r="23" spans="1:14" x14ac:dyDescent="0.25">
      <c r="A23" s="2">
        <v>24533</v>
      </c>
      <c r="B23" s="2">
        <f t="shared" si="0"/>
        <v>14327</v>
      </c>
      <c r="C23" s="2">
        <v>7.5999999999999998E-2</v>
      </c>
      <c r="D23" s="2" t="s">
        <v>24</v>
      </c>
      <c r="E23" s="2" t="s">
        <v>24</v>
      </c>
      <c r="F23" s="2" t="s">
        <v>24</v>
      </c>
      <c r="G23" s="2">
        <v>8.7034635416666672E-2</v>
      </c>
      <c r="H23" s="2"/>
      <c r="I23" s="6">
        <f t="shared" si="1"/>
        <v>1.14519257127193</v>
      </c>
      <c r="J23" s="6">
        <f t="shared" si="2"/>
        <v>0.34401041666666671</v>
      </c>
      <c r="K23">
        <f t="shared" si="3"/>
        <v>2.6773278307970082E-6</v>
      </c>
      <c r="L23">
        <f t="shared" si="4"/>
        <v>1.4614768721520067E-6</v>
      </c>
      <c r="M23">
        <f t="shared" si="5"/>
        <v>7.0809999999999998E-2</v>
      </c>
      <c r="N23">
        <f t="shared" si="6"/>
        <v>8.4201562500000007E-2</v>
      </c>
    </row>
    <row r="24" spans="1:14" x14ac:dyDescent="0.25">
      <c r="A24" s="2">
        <v>28459</v>
      </c>
      <c r="B24" s="2">
        <f t="shared" si="0"/>
        <v>18253</v>
      </c>
      <c r="C24" s="2">
        <v>8.6720000000000005E-2</v>
      </c>
      <c r="D24" s="2" t="s">
        <v>24</v>
      </c>
      <c r="E24" s="2" t="s">
        <v>24</v>
      </c>
      <c r="F24" s="2" t="s">
        <v>24</v>
      </c>
      <c r="G24" s="2">
        <v>9.6818619791666671E-2</v>
      </c>
      <c r="H24" s="2"/>
      <c r="I24" s="6">
        <f t="shared" si="1"/>
        <v>1.1164508739813961</v>
      </c>
      <c r="J24" s="6">
        <f t="shared" si="2"/>
        <v>0.38268229166666667</v>
      </c>
      <c r="K24">
        <f t="shared" si="3"/>
        <v>2.7305145185939906E-6</v>
      </c>
      <c r="L24">
        <f t="shared" si="4"/>
        <v>2.4920999426897604E-6</v>
      </c>
      <c r="M24">
        <f t="shared" si="5"/>
        <v>8.1360000000000002E-2</v>
      </c>
      <c r="N24">
        <f t="shared" si="6"/>
        <v>9.1926627604166672E-2</v>
      </c>
    </row>
    <row r="25" spans="1:14" x14ac:dyDescent="0.25">
      <c r="A25" s="2">
        <v>31915</v>
      </c>
      <c r="B25" s="2">
        <f t="shared" si="0"/>
        <v>21709</v>
      </c>
      <c r="C25" s="2">
        <v>0.10267999999999999</v>
      </c>
      <c r="D25" s="2" t="s">
        <v>24</v>
      </c>
      <c r="E25" s="2" t="s">
        <v>24</v>
      </c>
      <c r="F25" s="2" t="s">
        <v>24</v>
      </c>
      <c r="G25" s="2">
        <v>0.1082826822916667</v>
      </c>
      <c r="H25" s="2"/>
      <c r="I25" s="6">
        <f t="shared" si="1"/>
        <v>1.054564494465005</v>
      </c>
      <c r="J25" s="6">
        <f t="shared" si="2"/>
        <v>0.42799479166666676</v>
      </c>
      <c r="K25">
        <f t="shared" si="3"/>
        <v>4.6180555555555525E-6</v>
      </c>
      <c r="L25">
        <f t="shared" si="4"/>
        <v>3.3171477141203774E-6</v>
      </c>
      <c r="M25">
        <f t="shared" si="5"/>
        <v>9.4700000000000006E-2</v>
      </c>
      <c r="N25">
        <f t="shared" si="6"/>
        <v>0.10255065104166669</v>
      </c>
    </row>
    <row r="26" spans="1:14" x14ac:dyDescent="0.25">
      <c r="A26" s="2">
        <v>35001</v>
      </c>
      <c r="B26" s="2">
        <f t="shared" si="0"/>
        <v>24795</v>
      </c>
      <c r="C26" s="2">
        <v>0.10992</v>
      </c>
      <c r="D26" s="2" t="s">
        <v>24</v>
      </c>
      <c r="E26" s="2" t="s">
        <v>24</v>
      </c>
      <c r="F26" s="2" t="s">
        <v>24</v>
      </c>
      <c r="G26" s="2">
        <v>0.11546419270833334</v>
      </c>
      <c r="H26" s="2"/>
      <c r="I26" s="6">
        <f t="shared" si="1"/>
        <v>1.0504384343916788</v>
      </c>
      <c r="J26" s="6">
        <f t="shared" si="2"/>
        <v>0.45638020833333337</v>
      </c>
      <c r="K26">
        <f t="shared" si="3"/>
        <v>2.3460790667530817E-6</v>
      </c>
      <c r="L26">
        <f t="shared" si="4"/>
        <v>2.3271258641175139E-6</v>
      </c>
      <c r="M26">
        <f t="shared" si="5"/>
        <v>0.10630000000000001</v>
      </c>
      <c r="N26">
        <f t="shared" si="6"/>
        <v>0.11187343750000002</v>
      </c>
    </row>
    <row r="27" spans="1:14" x14ac:dyDescent="0.25">
      <c r="A27" s="2">
        <v>38382</v>
      </c>
      <c r="B27" s="2">
        <f t="shared" si="0"/>
        <v>28176</v>
      </c>
      <c r="C27" s="2">
        <v>0.1205</v>
      </c>
      <c r="D27" s="2" t="s">
        <v>24</v>
      </c>
      <c r="E27" s="2" t="s">
        <v>24</v>
      </c>
      <c r="F27" s="2" t="s">
        <v>24</v>
      </c>
      <c r="G27" s="2">
        <v>0.1256764322916667</v>
      </c>
      <c r="H27" s="2"/>
      <c r="I27" s="6">
        <f t="shared" si="1"/>
        <v>1.0429579443291843</v>
      </c>
      <c r="J27" s="6">
        <f t="shared" si="2"/>
        <v>0.4967447916666668</v>
      </c>
      <c r="K27">
        <f t="shared" si="3"/>
        <v>3.1292517006802699E-6</v>
      </c>
      <c r="L27">
        <f t="shared" si="4"/>
        <v>3.0204790249433163E-6</v>
      </c>
      <c r="M27">
        <f t="shared" si="5"/>
        <v>0.11521000000000001</v>
      </c>
      <c r="N27">
        <f t="shared" si="6"/>
        <v>0.12057031250000003</v>
      </c>
    </row>
    <row r="28" spans="1:14" x14ac:dyDescent="0.25">
      <c r="A28" s="2">
        <v>42129</v>
      </c>
      <c r="B28" s="2">
        <f t="shared" si="0"/>
        <v>31923</v>
      </c>
      <c r="C28" s="2">
        <v>0.13400000000000001</v>
      </c>
      <c r="D28" s="2" t="s">
        <v>24</v>
      </c>
      <c r="E28" s="2" t="s">
        <v>24</v>
      </c>
      <c r="F28" s="2" t="s">
        <v>24</v>
      </c>
      <c r="G28" s="2">
        <v>0.14181835937500001</v>
      </c>
      <c r="H28" s="2"/>
      <c r="I28" s="6">
        <f t="shared" si="1"/>
        <v>1.0583459654850746</v>
      </c>
      <c r="J28" s="6">
        <f t="shared" si="2"/>
        <v>0.560546875</v>
      </c>
      <c r="K28">
        <f t="shared" si="3"/>
        <v>3.602882305844679E-6</v>
      </c>
      <c r="L28">
        <f t="shared" si="4"/>
        <v>4.3079602570945588E-6</v>
      </c>
      <c r="M28">
        <f t="shared" si="5"/>
        <v>0.12725</v>
      </c>
      <c r="N28">
        <f t="shared" si="6"/>
        <v>0.13374739583333334</v>
      </c>
    </row>
    <row r="29" spans="1:14" x14ac:dyDescent="0.25">
      <c r="A29" s="2">
        <v>45091</v>
      </c>
      <c r="B29" s="2">
        <f t="shared" si="0"/>
        <v>34885</v>
      </c>
      <c r="C29" s="2">
        <v>0.14799999999999999</v>
      </c>
      <c r="D29" s="2" t="s">
        <v>24</v>
      </c>
      <c r="E29" s="2" t="s">
        <v>24</v>
      </c>
      <c r="F29" s="2" t="s">
        <v>24</v>
      </c>
      <c r="G29" s="2">
        <v>0.15654375000000001</v>
      </c>
      <c r="H29" s="2"/>
      <c r="I29" s="6">
        <f t="shared" si="1"/>
        <v>1.0577280405405407</v>
      </c>
      <c r="J29" s="6">
        <f t="shared" si="2"/>
        <v>0.61875000000000002</v>
      </c>
      <c r="K29">
        <f t="shared" si="3"/>
        <v>4.7265361242403733E-6</v>
      </c>
      <c r="L29">
        <f t="shared" si="4"/>
        <v>4.9714350523295077E-6</v>
      </c>
      <c r="M29">
        <f t="shared" si="5"/>
        <v>0.14100000000000001</v>
      </c>
      <c r="N29">
        <f t="shared" si="6"/>
        <v>0.14918105468750001</v>
      </c>
    </row>
    <row r="30" spans="1:14" x14ac:dyDescent="0.25">
      <c r="A30" s="2">
        <v>48369</v>
      </c>
      <c r="B30" s="2">
        <f t="shared" si="0"/>
        <v>38163</v>
      </c>
      <c r="C30" s="2">
        <v>0.16158</v>
      </c>
      <c r="D30" s="2" t="s">
        <v>24</v>
      </c>
      <c r="E30" s="2" t="s">
        <v>24</v>
      </c>
      <c r="F30" s="2" t="s">
        <v>24</v>
      </c>
      <c r="G30" s="2">
        <v>0.18164609375000002</v>
      </c>
      <c r="H30" s="2"/>
      <c r="I30" s="6">
        <f t="shared" si="1"/>
        <v>1.1241867418616167</v>
      </c>
      <c r="J30" s="6">
        <f t="shared" si="2"/>
        <v>0.71796875000000004</v>
      </c>
      <c r="K30">
        <f t="shared" si="3"/>
        <v>4.1427699816961592E-6</v>
      </c>
      <c r="L30">
        <f t="shared" si="4"/>
        <v>7.6578229865771834E-6</v>
      </c>
      <c r="M30">
        <f t="shared" si="5"/>
        <v>0.15478999999999998</v>
      </c>
      <c r="N30">
        <f t="shared" si="6"/>
        <v>0.16909492187500003</v>
      </c>
    </row>
    <row r="31" spans="1:14" x14ac:dyDescent="0.25">
      <c r="A31" s="2">
        <v>51076</v>
      </c>
      <c r="B31" s="2">
        <f t="shared" si="0"/>
        <v>40870</v>
      </c>
      <c r="C31" s="2">
        <v>0.17358000000000001</v>
      </c>
      <c r="D31" s="2" t="s">
        <v>24</v>
      </c>
      <c r="E31" s="2" t="s">
        <v>24</v>
      </c>
      <c r="F31" s="2" t="s">
        <v>24</v>
      </c>
      <c r="G31" s="2">
        <v>0.19857864583333334</v>
      </c>
      <c r="H31" s="2"/>
      <c r="I31" s="6">
        <f t="shared" si="1"/>
        <v>1.1440180080270383</v>
      </c>
      <c r="J31" s="6">
        <f t="shared" si="2"/>
        <v>0.78489583333333335</v>
      </c>
      <c r="K31">
        <f t="shared" si="3"/>
        <v>4.4329516069449616E-6</v>
      </c>
      <c r="L31">
        <f t="shared" si="4"/>
        <v>6.2550986639576397E-6</v>
      </c>
      <c r="M31">
        <f t="shared" si="5"/>
        <v>0.16758000000000001</v>
      </c>
      <c r="N31">
        <f t="shared" si="6"/>
        <v>0.19011236979166668</v>
      </c>
    </row>
    <row r="32" spans="1:14" x14ac:dyDescent="0.25">
      <c r="A32" s="2">
        <v>53331</v>
      </c>
      <c r="B32" s="2">
        <f t="shared" si="0"/>
        <v>43125</v>
      </c>
      <c r="C32" s="2">
        <v>0.19109999999999999</v>
      </c>
      <c r="D32" s="2" t="s">
        <v>24</v>
      </c>
      <c r="E32" s="2" t="s">
        <v>24</v>
      </c>
      <c r="F32" s="2" t="s">
        <v>24</v>
      </c>
      <c r="G32" s="2">
        <v>0.21913489583333334</v>
      </c>
      <c r="H32" s="2"/>
      <c r="I32" s="6">
        <f t="shared" si="1"/>
        <v>1.146702751613466</v>
      </c>
      <c r="J32" s="6">
        <f t="shared" si="2"/>
        <v>0.86614583333333339</v>
      </c>
      <c r="K32">
        <f t="shared" si="3"/>
        <v>7.7694013303769306E-6</v>
      </c>
      <c r="L32">
        <f t="shared" si="4"/>
        <v>9.1158536585365849E-6</v>
      </c>
      <c r="M32">
        <f t="shared" si="5"/>
        <v>0.18234</v>
      </c>
      <c r="N32">
        <f t="shared" si="6"/>
        <v>0.20885677083333334</v>
      </c>
    </row>
    <row r="33" spans="1:14" x14ac:dyDescent="0.25">
      <c r="A33" s="2">
        <v>55290</v>
      </c>
      <c r="B33" s="2">
        <f t="shared" si="0"/>
        <v>45084</v>
      </c>
      <c r="C33" s="2">
        <v>0.20612</v>
      </c>
      <c r="D33" s="2" t="s">
        <v>24</v>
      </c>
      <c r="E33" s="2" t="s">
        <v>24</v>
      </c>
      <c r="F33" s="2" t="s">
        <v>24</v>
      </c>
      <c r="G33" s="2">
        <v>0.24160182291666671</v>
      </c>
      <c r="H33" s="2"/>
      <c r="I33" s="6">
        <f t="shared" si="1"/>
        <v>1.1721415821689634</v>
      </c>
      <c r="J33" s="6">
        <f t="shared" si="2"/>
        <v>0.95494791666666679</v>
      </c>
      <c r="K33">
        <f t="shared" si="3"/>
        <v>7.6671771311893849E-6</v>
      </c>
      <c r="L33">
        <f t="shared" si="4"/>
        <v>1.1468569210481554E-5</v>
      </c>
      <c r="M33">
        <f t="shared" si="5"/>
        <v>0.19861000000000001</v>
      </c>
      <c r="N33">
        <f t="shared" si="6"/>
        <v>0.23036835937500003</v>
      </c>
    </row>
    <row r="34" spans="1:14" x14ac:dyDescent="0.25">
      <c r="A34" s="2">
        <v>56701</v>
      </c>
      <c r="B34" s="2">
        <f t="shared" si="0"/>
        <v>46495</v>
      </c>
      <c r="C34" s="2">
        <v>0.22344</v>
      </c>
      <c r="D34" s="2" t="s">
        <v>24</v>
      </c>
      <c r="E34" s="2">
        <v>7.238E-2</v>
      </c>
      <c r="F34" s="2" t="s">
        <v>24</v>
      </c>
      <c r="G34" s="2">
        <v>0.25</v>
      </c>
      <c r="H34" s="2"/>
      <c r="I34" s="2">
        <f t="shared" si="1"/>
        <v>1.1188686000716075</v>
      </c>
      <c r="J34" s="2">
        <f t="shared" si="2"/>
        <v>0.98814229249011853</v>
      </c>
      <c r="K34">
        <f t="shared" si="3"/>
        <v>1.2274982282069455E-5</v>
      </c>
      <c r="L34">
        <f t="shared" si="4"/>
        <v>5.9519327309236654E-6</v>
      </c>
      <c r="M34">
        <f t="shared" si="5"/>
        <v>0.21478</v>
      </c>
      <c r="N34">
        <f t="shared" si="6"/>
        <v>0.24580091145833335</v>
      </c>
    </row>
    <row r="35" spans="1:14" x14ac:dyDescent="0.25">
      <c r="A35" s="2">
        <v>58121</v>
      </c>
      <c r="B35" s="2">
        <f t="shared" si="0"/>
        <v>47915</v>
      </c>
      <c r="C35" s="2">
        <v>0.2432</v>
      </c>
      <c r="D35" s="2" t="s">
        <v>24</v>
      </c>
      <c r="E35" s="2">
        <v>0.13794000000000001</v>
      </c>
      <c r="F35" s="2" t="s">
        <v>24</v>
      </c>
      <c r="G35" s="2" t="s">
        <v>24</v>
      </c>
      <c r="H35" s="2"/>
      <c r="I35" s="2"/>
      <c r="J35" s="2"/>
      <c r="K35">
        <f t="shared" si="3"/>
        <v>1.3915492957746478E-5</v>
      </c>
      <c r="M35">
        <f t="shared" si="5"/>
        <v>0.23332</v>
      </c>
    </row>
    <row r="36" spans="1:14" x14ac:dyDescent="0.25">
      <c r="A36" s="2">
        <v>58590</v>
      </c>
      <c r="B36" s="2">
        <f t="shared" si="0"/>
        <v>48384</v>
      </c>
      <c r="C36" s="2">
        <v>0.25287999999999999</v>
      </c>
      <c r="D36" s="2" t="s">
        <v>24</v>
      </c>
      <c r="E36" s="2">
        <v>0.15326000000000001</v>
      </c>
      <c r="F36" s="2" t="s">
        <v>24</v>
      </c>
      <c r="G36" s="2" t="s">
        <v>24</v>
      </c>
      <c r="H36" s="2"/>
      <c r="I36" s="2"/>
      <c r="J36" s="2"/>
      <c r="K36">
        <f t="shared" si="3"/>
        <v>2.063965884861406E-5</v>
      </c>
      <c r="M36">
        <f t="shared" si="5"/>
        <v>0.24803999999999998</v>
      </c>
    </row>
    <row r="37" spans="1:14" x14ac:dyDescent="0.25">
      <c r="A37" s="2">
        <v>59248</v>
      </c>
      <c r="B37" s="2">
        <f t="shared" si="0"/>
        <v>49042</v>
      </c>
      <c r="C37" s="2">
        <v>0.2631</v>
      </c>
      <c r="D37" s="2" t="s">
        <v>24</v>
      </c>
      <c r="E37" s="2">
        <v>0.17519999999999999</v>
      </c>
      <c r="F37" s="2" t="s">
        <v>24</v>
      </c>
      <c r="G37" s="2" t="s">
        <v>24</v>
      </c>
      <c r="H37" s="2"/>
      <c r="I37" s="2"/>
      <c r="J37" s="2"/>
      <c r="K37">
        <f t="shared" si="3"/>
        <v>1.5531914893617033E-5</v>
      </c>
      <c r="M37">
        <f t="shared" si="5"/>
        <v>0.25799</v>
      </c>
    </row>
    <row r="38" spans="1:14" x14ac:dyDescent="0.25">
      <c r="A38" s="2">
        <v>59966</v>
      </c>
      <c r="B38" s="2">
        <f t="shared" si="0"/>
        <v>49760</v>
      </c>
      <c r="C38" s="2">
        <v>0.27879999999999999</v>
      </c>
      <c r="D38" s="2" t="s">
        <v>24</v>
      </c>
      <c r="E38" s="2">
        <v>0.20626</v>
      </c>
      <c r="F38" s="2" t="s">
        <v>24</v>
      </c>
      <c r="G38" s="2" t="s">
        <v>24</v>
      </c>
      <c r="H38" s="2"/>
      <c r="I38" s="2"/>
      <c r="J38" s="2"/>
      <c r="K38">
        <f t="shared" si="3"/>
        <v>2.1866295264623946E-5</v>
      </c>
      <c r="M38">
        <f t="shared" si="5"/>
        <v>0.27095000000000002</v>
      </c>
    </row>
    <row r="39" spans="1:14" x14ac:dyDescent="0.25">
      <c r="A39" s="2">
        <v>60353</v>
      </c>
      <c r="B39" s="2">
        <f t="shared" si="0"/>
        <v>50147</v>
      </c>
      <c r="C39" s="2">
        <v>0.29011999999999999</v>
      </c>
      <c r="D39" s="2" t="s">
        <v>24</v>
      </c>
      <c r="E39" s="2">
        <v>0.21748000000000001</v>
      </c>
      <c r="F39" s="2" t="s">
        <v>24</v>
      </c>
      <c r="G39" s="2" t="s">
        <v>24</v>
      </c>
      <c r="H39" s="2"/>
      <c r="I39" s="2"/>
      <c r="J39" s="2"/>
      <c r="K39">
        <f>(C39-C38)/(B39-B38)</f>
        <v>2.9250645994832032E-5</v>
      </c>
      <c r="M39">
        <f>AVERAGE(C38:C39)</f>
        <v>0.28445999999999999</v>
      </c>
    </row>
    <row r="40" spans="1:14" x14ac:dyDescent="0.25">
      <c r="A40" s="2">
        <v>60866</v>
      </c>
      <c r="B40" s="2">
        <f t="shared" si="0"/>
        <v>50660</v>
      </c>
      <c r="C40" s="2">
        <v>0.30880000000000002</v>
      </c>
      <c r="D40" s="2" t="s">
        <v>24</v>
      </c>
      <c r="E40" s="2">
        <v>0.24112</v>
      </c>
      <c r="F40" s="2" t="s">
        <v>24</v>
      </c>
      <c r="G40" s="2" t="s">
        <v>24</v>
      </c>
      <c r="H40" s="2"/>
      <c r="I40" s="2"/>
      <c r="J40" s="2"/>
      <c r="K40">
        <f t="shared" ref="K40:K41" si="7">(C40-C39)/(B40-B39)</f>
        <v>3.641325536062384E-5</v>
      </c>
      <c r="M40">
        <f t="shared" ref="M40:M41" si="8">AVERAGE(C39:C40)</f>
        <v>0.29946</v>
      </c>
    </row>
    <row r="41" spans="1:14" x14ac:dyDescent="0.25">
      <c r="A41" s="2">
        <v>61352</v>
      </c>
      <c r="B41" s="2">
        <f t="shared" si="0"/>
        <v>51146</v>
      </c>
      <c r="C41" s="2">
        <v>0.35</v>
      </c>
      <c r="D41" s="2" t="s">
        <v>24</v>
      </c>
      <c r="E41" s="2">
        <v>0.28216000000000002</v>
      </c>
      <c r="F41" s="2" t="s">
        <v>24</v>
      </c>
      <c r="G41" s="2" t="s">
        <v>24</v>
      </c>
      <c r="H41" s="2"/>
      <c r="I41" s="2"/>
      <c r="J41" s="2"/>
      <c r="K41">
        <f t="shared" si="7"/>
        <v>8.4773662551440248E-5</v>
      </c>
      <c r="M41">
        <f t="shared" si="8"/>
        <v>0.32940000000000003</v>
      </c>
    </row>
    <row r="42" spans="1:14" x14ac:dyDescent="0.25">
      <c r="A42" s="2">
        <v>61441</v>
      </c>
      <c r="B42" s="2">
        <f t="shared" si="0"/>
        <v>51235</v>
      </c>
      <c r="C42" s="2">
        <v>0.35</v>
      </c>
      <c r="D42" s="2" t="s">
        <v>24</v>
      </c>
      <c r="E42" s="2">
        <v>0.35</v>
      </c>
      <c r="F42" s="2" t="s">
        <v>24</v>
      </c>
      <c r="G42" s="2" t="s">
        <v>24</v>
      </c>
      <c r="H42" s="2"/>
      <c r="I42" s="2"/>
      <c r="J42" s="2"/>
    </row>
  </sheetData>
  <mergeCells count="14">
    <mergeCell ref="K11:K14"/>
    <mergeCell ref="L11:L14"/>
    <mergeCell ref="M11:M14"/>
    <mergeCell ref="N11:N14"/>
    <mergeCell ref="I11:I14"/>
    <mergeCell ref="J11:J14"/>
    <mergeCell ref="A11:A14"/>
    <mergeCell ref="C11:G11"/>
    <mergeCell ref="H11:H14"/>
    <mergeCell ref="C12:F12"/>
    <mergeCell ref="G12:G14"/>
    <mergeCell ref="C13:D13"/>
    <mergeCell ref="E13:F13"/>
    <mergeCell ref="B11:B1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0:N35"/>
  <sheetViews>
    <sheetView topLeftCell="B1" zoomScale="70" zoomScaleNormal="70" workbookViewId="0">
      <selection activeCell="L20" sqref="L20"/>
    </sheetView>
  </sheetViews>
  <sheetFormatPr defaultRowHeight="15" x14ac:dyDescent="0.25"/>
  <cols>
    <col min="8" max="8" width="21.140625" customWidth="1"/>
    <col min="12" max="12" width="13" bestFit="1" customWidth="1"/>
  </cols>
  <sheetData>
    <row r="10" spans="1:14" ht="58.15" customHeight="1" x14ac:dyDescent="0.25"/>
    <row r="11" spans="1:14" ht="14.45" customHeight="1" x14ac:dyDescent="0.25">
      <c r="A11" s="100" t="s">
        <v>15</v>
      </c>
      <c r="B11" s="100" t="s">
        <v>27</v>
      </c>
      <c r="C11" s="105" t="s">
        <v>16</v>
      </c>
      <c r="D11" s="105"/>
      <c r="E11" s="105"/>
      <c r="F11" s="105"/>
      <c r="G11" s="105"/>
      <c r="H11" s="105" t="s">
        <v>20</v>
      </c>
      <c r="I11" s="106" t="s">
        <v>25</v>
      </c>
      <c r="J11" s="106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x14ac:dyDescent="0.25">
      <c r="A12" s="100"/>
      <c r="B12" s="100"/>
      <c r="C12" s="105" t="s">
        <v>21</v>
      </c>
      <c r="D12" s="105"/>
      <c r="E12" s="105"/>
      <c r="F12" s="105"/>
      <c r="G12" s="105" t="s">
        <v>19</v>
      </c>
      <c r="H12" s="105"/>
      <c r="I12" s="107"/>
      <c r="J12" s="107"/>
      <c r="K12" s="90"/>
      <c r="L12" s="90"/>
      <c r="M12" s="90"/>
      <c r="N12" s="90"/>
    </row>
    <row r="13" spans="1:14" x14ac:dyDescent="0.25">
      <c r="A13" s="100"/>
      <c r="B13" s="100"/>
      <c r="C13" s="105" t="s">
        <v>22</v>
      </c>
      <c r="D13" s="105"/>
      <c r="E13" s="105" t="s">
        <v>23</v>
      </c>
      <c r="F13" s="105"/>
      <c r="G13" s="105"/>
      <c r="H13" s="105"/>
      <c r="I13" s="107"/>
      <c r="J13" s="107"/>
      <c r="K13" s="90"/>
      <c r="L13" s="90"/>
      <c r="M13" s="90"/>
      <c r="N13" s="90"/>
    </row>
    <row r="14" spans="1:14" x14ac:dyDescent="0.25">
      <c r="A14" s="100"/>
      <c r="B14" s="100"/>
      <c r="C14" s="2" t="s">
        <v>17</v>
      </c>
      <c r="D14" s="2" t="s">
        <v>18</v>
      </c>
      <c r="E14" s="2" t="s">
        <v>17</v>
      </c>
      <c r="F14" s="2" t="s">
        <v>18</v>
      </c>
      <c r="G14" s="105"/>
      <c r="H14" s="105"/>
      <c r="I14" s="108"/>
      <c r="J14" s="108"/>
      <c r="K14" s="90"/>
      <c r="L14" s="90"/>
      <c r="M14" s="90"/>
      <c r="N14" s="90"/>
    </row>
    <row r="15" spans="1:14" x14ac:dyDescent="0.25">
      <c r="A15" s="2">
        <v>0</v>
      </c>
      <c r="B15" s="2">
        <f>A15-6520</f>
        <v>-6520</v>
      </c>
      <c r="C15" s="2">
        <v>3.8420000000000003E-2</v>
      </c>
      <c r="D15" s="2" t="s">
        <v>24</v>
      </c>
      <c r="E15" s="2" t="s">
        <v>24</v>
      </c>
      <c r="F15" s="2" t="s">
        <v>24</v>
      </c>
      <c r="G15" s="2">
        <v>6.4737074209245737E-2</v>
      </c>
      <c r="H15" s="2"/>
      <c r="I15" s="6">
        <f>G15/C15</f>
        <v>1.6849837118491862</v>
      </c>
      <c r="J15" s="6">
        <f>G15/0.2535</f>
        <v>0.2553730738037307</v>
      </c>
    </row>
    <row r="16" spans="1:14" x14ac:dyDescent="0.25">
      <c r="A16" s="2">
        <v>1166</v>
      </c>
      <c r="B16" s="2">
        <f t="shared" ref="B16:B35" si="0">A16-6520</f>
        <v>-5354</v>
      </c>
      <c r="C16" s="2">
        <v>4.3209999999999998E-2</v>
      </c>
      <c r="D16" s="2" t="s">
        <v>24</v>
      </c>
      <c r="E16" s="2" t="s">
        <v>24</v>
      </c>
      <c r="F16" s="2" t="s">
        <v>24</v>
      </c>
      <c r="G16" s="2">
        <v>6.5173965936739658E-2</v>
      </c>
      <c r="H16" s="2"/>
      <c r="I16" s="6">
        <f t="shared" ref="I16:I31" si="1">G16/C16</f>
        <v>1.5083074736574789</v>
      </c>
      <c r="J16" s="6">
        <f t="shared" ref="J16:J31" si="2">G16/0.2535</f>
        <v>0.25709651257096511</v>
      </c>
    </row>
    <row r="17" spans="1:14" x14ac:dyDescent="0.25">
      <c r="A17" s="2">
        <v>5476</v>
      </c>
      <c r="B17" s="2">
        <f t="shared" si="0"/>
        <v>-1044</v>
      </c>
      <c r="C17" s="2">
        <v>4.752E-2</v>
      </c>
      <c r="D17" s="2" t="s">
        <v>24</v>
      </c>
      <c r="E17" s="2" t="s">
        <v>24</v>
      </c>
      <c r="F17" s="2" t="s">
        <v>24</v>
      </c>
      <c r="G17" s="2">
        <v>7.5942062043795611E-2</v>
      </c>
      <c r="H17" s="2"/>
      <c r="I17" s="6">
        <f t="shared" si="1"/>
        <v>1.5981073662414902</v>
      </c>
      <c r="J17" s="6">
        <f t="shared" si="2"/>
        <v>0.29957420924574207</v>
      </c>
    </row>
    <row r="18" spans="1:14" x14ac:dyDescent="0.25">
      <c r="A18" s="7">
        <f>A19-((A19-A17)*(C19-C18)/(C19-C17))</f>
        <v>6520.4064665127025</v>
      </c>
      <c r="B18" s="8">
        <v>0</v>
      </c>
      <c r="C18" s="8">
        <v>0.05</v>
      </c>
      <c r="D18" s="8"/>
      <c r="E18" s="8"/>
      <c r="F18" s="8"/>
      <c r="G18" s="8">
        <v>7.646E-2</v>
      </c>
      <c r="H18" s="8"/>
      <c r="I18" s="9">
        <f t="shared" si="1"/>
        <v>1.5291999999999999</v>
      </c>
      <c r="J18" s="9">
        <f t="shared" si="2"/>
        <v>0.3016173570019724</v>
      </c>
    </row>
    <row r="19" spans="1:14" x14ac:dyDescent="0.25">
      <c r="A19" s="2">
        <v>9123</v>
      </c>
      <c r="B19" s="2">
        <f t="shared" si="0"/>
        <v>2603</v>
      </c>
      <c r="C19" s="2">
        <v>5.6180000000000001E-2</v>
      </c>
      <c r="D19" s="2" t="s">
        <v>24</v>
      </c>
      <c r="E19" s="2" t="s">
        <v>24</v>
      </c>
      <c r="F19" s="2" t="s">
        <v>24</v>
      </c>
      <c r="G19" s="2">
        <v>7.6970042579075415E-2</v>
      </c>
      <c r="H19" s="2"/>
      <c r="I19" s="6">
        <f t="shared" si="1"/>
        <v>1.3700612776624317</v>
      </c>
      <c r="J19" s="6">
        <f t="shared" si="2"/>
        <v>0.30362935928629353</v>
      </c>
      <c r="K19">
        <f>(C19-C18)/(B19-B18)</f>
        <v>2.3741836342681514E-6</v>
      </c>
      <c r="L19">
        <f>(G19-G18)/(B19-B18)</f>
        <v>1.9594413333669414E-7</v>
      </c>
      <c r="M19">
        <f>AVERAGE(C18:C19)</f>
        <v>5.3089999999999998E-2</v>
      </c>
      <c r="N19">
        <f>AVERAGE(G18:G19)</f>
        <v>7.6715021289537708E-2</v>
      </c>
    </row>
    <row r="20" spans="1:14" x14ac:dyDescent="0.25">
      <c r="A20" s="2">
        <v>12786</v>
      </c>
      <c r="B20" s="2">
        <f t="shared" si="0"/>
        <v>6266</v>
      </c>
      <c r="C20" s="2">
        <v>6.3619999999999996E-2</v>
      </c>
      <c r="D20" s="2" t="s">
        <v>24</v>
      </c>
      <c r="E20" s="2" t="s">
        <v>24</v>
      </c>
      <c r="F20" s="2" t="s">
        <v>24</v>
      </c>
      <c r="G20" s="2">
        <v>8.8149330900243295E-2</v>
      </c>
      <c r="H20" s="2"/>
      <c r="I20" s="6">
        <f t="shared" si="1"/>
        <v>1.3855600581616363</v>
      </c>
      <c r="J20" s="6">
        <f t="shared" si="2"/>
        <v>0.34772911597729111</v>
      </c>
      <c r="K20">
        <f t="shared" ref="K20:K34" si="3">(C20-C19)/(B20-B19)</f>
        <v>2.0311220311220298E-6</v>
      </c>
      <c r="L20">
        <f t="shared" ref="L20:L31" si="4">(G20-G19)/(B20-B19)</f>
        <v>3.0519487636275946E-6</v>
      </c>
      <c r="M20">
        <f t="shared" ref="M20:M34" si="5">AVERAGE(C19:C20)</f>
        <v>5.9899999999999995E-2</v>
      </c>
      <c r="N20">
        <f t="shared" ref="N20:N31" si="6">AVERAGE(G19:G20)</f>
        <v>8.2559686739659355E-2</v>
      </c>
    </row>
    <row r="21" spans="1:14" x14ac:dyDescent="0.25">
      <c r="A21" s="2">
        <v>16661</v>
      </c>
      <c r="B21" s="2">
        <f t="shared" si="0"/>
        <v>10141</v>
      </c>
      <c r="C21" s="2">
        <v>7.442E-2</v>
      </c>
      <c r="D21" s="2" t="s">
        <v>24</v>
      </c>
      <c r="E21" s="2" t="s">
        <v>24</v>
      </c>
      <c r="F21" s="2" t="s">
        <v>24</v>
      </c>
      <c r="G21" s="2">
        <v>0.10259245742092456</v>
      </c>
      <c r="H21" s="2"/>
      <c r="I21" s="6">
        <f t="shared" si="1"/>
        <v>1.3785602985880752</v>
      </c>
      <c r="J21" s="6">
        <f t="shared" si="2"/>
        <v>0.40470397404703967</v>
      </c>
      <c r="K21">
        <f t="shared" si="3"/>
        <v>2.7870967741935495E-6</v>
      </c>
      <c r="L21">
        <f t="shared" si="4"/>
        <v>3.7272584569500033E-6</v>
      </c>
      <c r="M21">
        <f t="shared" si="5"/>
        <v>6.9019999999999998E-2</v>
      </c>
      <c r="N21">
        <f t="shared" si="6"/>
        <v>9.5370894160583919E-2</v>
      </c>
    </row>
    <row r="22" spans="1:14" x14ac:dyDescent="0.25">
      <c r="A22" s="2">
        <v>20042</v>
      </c>
      <c r="B22" s="2">
        <f t="shared" si="0"/>
        <v>13522</v>
      </c>
      <c r="C22" s="2">
        <v>8.4040000000000004E-2</v>
      </c>
      <c r="D22" s="2" t="s">
        <v>24</v>
      </c>
      <c r="E22" s="2" t="s">
        <v>24</v>
      </c>
      <c r="F22" s="2" t="s">
        <v>24</v>
      </c>
      <c r="G22" s="2">
        <v>0.10917153284671531</v>
      </c>
      <c r="H22" s="2"/>
      <c r="I22" s="6">
        <f t="shared" si="1"/>
        <v>1.2990425136448751</v>
      </c>
      <c r="J22" s="6">
        <f t="shared" si="2"/>
        <v>0.43065693430656926</v>
      </c>
      <c r="K22">
        <f t="shared" si="3"/>
        <v>2.8453120378586229E-6</v>
      </c>
      <c r="L22">
        <f t="shared" si="4"/>
        <v>1.9458963104971171E-6</v>
      </c>
      <c r="M22">
        <f t="shared" si="5"/>
        <v>7.9229999999999995E-2</v>
      </c>
      <c r="N22">
        <f t="shared" si="6"/>
        <v>0.10588199513381993</v>
      </c>
    </row>
    <row r="23" spans="1:14" x14ac:dyDescent="0.25">
      <c r="A23" s="2">
        <v>23897</v>
      </c>
      <c r="B23" s="2">
        <f t="shared" si="0"/>
        <v>17377</v>
      </c>
      <c r="C23" s="2">
        <v>8.9380000000000001E-2</v>
      </c>
      <c r="D23" s="2" t="s">
        <v>24</v>
      </c>
      <c r="E23" s="2" t="s">
        <v>24</v>
      </c>
      <c r="F23" s="2" t="s">
        <v>24</v>
      </c>
      <c r="G23" s="2">
        <v>0.12405155109489049</v>
      </c>
      <c r="H23" s="2"/>
      <c r="I23" s="6">
        <f t="shared" si="1"/>
        <v>1.3879117374680072</v>
      </c>
      <c r="J23" s="6">
        <f t="shared" si="2"/>
        <v>0.48935523114355223</v>
      </c>
      <c r="K23">
        <f t="shared" si="3"/>
        <v>1.3852140077821004E-6</v>
      </c>
      <c r="L23">
        <f t="shared" si="4"/>
        <v>3.8599269126265065E-6</v>
      </c>
      <c r="M23">
        <f t="shared" si="5"/>
        <v>8.6710000000000009E-2</v>
      </c>
      <c r="N23">
        <f t="shared" si="6"/>
        <v>0.1166115419708029</v>
      </c>
    </row>
    <row r="24" spans="1:14" x14ac:dyDescent="0.25">
      <c r="A24" s="2">
        <v>27298</v>
      </c>
      <c r="B24" s="2">
        <f t="shared" si="0"/>
        <v>20778</v>
      </c>
      <c r="C24" s="2">
        <v>0.10796</v>
      </c>
      <c r="D24" s="2" t="s">
        <v>24</v>
      </c>
      <c r="E24" s="2" t="s">
        <v>24</v>
      </c>
      <c r="F24" s="2" t="s">
        <v>24</v>
      </c>
      <c r="G24" s="2">
        <v>0.13065632603406324</v>
      </c>
      <c r="H24" s="2"/>
      <c r="I24" s="6">
        <f t="shared" si="1"/>
        <v>1.2102290295856173</v>
      </c>
      <c r="J24" s="6">
        <f t="shared" si="2"/>
        <v>0.51540957015409561</v>
      </c>
      <c r="K24">
        <f t="shared" si="3"/>
        <v>5.463099088503381E-6</v>
      </c>
      <c r="L24">
        <f t="shared" si="4"/>
        <v>1.9420096851434129E-6</v>
      </c>
      <c r="M24">
        <f t="shared" si="5"/>
        <v>9.8670000000000008E-2</v>
      </c>
      <c r="N24">
        <f t="shared" si="6"/>
        <v>0.12735393856447685</v>
      </c>
    </row>
    <row r="25" spans="1:14" x14ac:dyDescent="0.25">
      <c r="A25" s="2">
        <v>31350</v>
      </c>
      <c r="B25" s="2">
        <f t="shared" si="0"/>
        <v>24830</v>
      </c>
      <c r="C25" s="2">
        <v>0.11781999999999999</v>
      </c>
      <c r="D25" s="2" t="s">
        <v>24</v>
      </c>
      <c r="E25" s="2" t="s">
        <v>24</v>
      </c>
      <c r="F25" s="2" t="s">
        <v>24</v>
      </c>
      <c r="G25" s="2">
        <v>0.13754379562043795</v>
      </c>
      <c r="H25" s="2"/>
      <c r="I25" s="6">
        <f t="shared" si="1"/>
        <v>1.1674061756954504</v>
      </c>
      <c r="J25" s="6">
        <f t="shared" si="2"/>
        <v>0.54257907542579076</v>
      </c>
      <c r="K25">
        <f t="shared" si="3"/>
        <v>2.4333662388943715E-6</v>
      </c>
      <c r="L25">
        <f t="shared" si="4"/>
        <v>1.6997703816324546E-6</v>
      </c>
      <c r="M25">
        <f t="shared" si="5"/>
        <v>0.11288999999999999</v>
      </c>
      <c r="N25">
        <f t="shared" si="6"/>
        <v>0.13410006082725059</v>
      </c>
    </row>
    <row r="26" spans="1:14" x14ac:dyDescent="0.25">
      <c r="A26" s="2">
        <v>34962</v>
      </c>
      <c r="B26" s="2">
        <f t="shared" si="0"/>
        <v>28442</v>
      </c>
      <c r="C26" s="2">
        <v>0.14191999999999999</v>
      </c>
      <c r="D26" s="2" t="s">
        <v>24</v>
      </c>
      <c r="E26" s="2" t="s">
        <v>24</v>
      </c>
      <c r="F26" s="2" t="s">
        <v>24</v>
      </c>
      <c r="G26" s="2">
        <v>0.16427128953771289</v>
      </c>
      <c r="H26" s="2"/>
      <c r="I26" s="6">
        <f t="shared" si="1"/>
        <v>1.1574921754348428</v>
      </c>
      <c r="J26" s="6">
        <f t="shared" si="2"/>
        <v>0.64801297648012968</v>
      </c>
      <c r="K26">
        <f t="shared" si="3"/>
        <v>6.6722037652270203E-6</v>
      </c>
      <c r="L26">
        <f t="shared" si="4"/>
        <v>7.3996384045611689E-6</v>
      </c>
      <c r="M26">
        <f t="shared" si="5"/>
        <v>0.12986999999999999</v>
      </c>
      <c r="N26">
        <f t="shared" si="6"/>
        <v>0.1509075425790754</v>
      </c>
    </row>
    <row r="27" spans="1:14" x14ac:dyDescent="0.25">
      <c r="A27" s="2">
        <v>38515</v>
      </c>
      <c r="B27" s="2">
        <f t="shared" si="0"/>
        <v>31995</v>
      </c>
      <c r="C27" s="2">
        <v>0.16144</v>
      </c>
      <c r="D27" s="2" t="s">
        <v>24</v>
      </c>
      <c r="E27" s="2" t="s">
        <v>24</v>
      </c>
      <c r="F27" s="2" t="s">
        <v>24</v>
      </c>
      <c r="G27" s="2">
        <v>0.19397992700729927</v>
      </c>
      <c r="H27" s="2"/>
      <c r="I27" s="6">
        <f t="shared" si="1"/>
        <v>1.2015604993019033</v>
      </c>
      <c r="J27" s="6">
        <f t="shared" si="2"/>
        <v>0.76520681265206814</v>
      </c>
      <c r="K27">
        <f t="shared" si="3"/>
        <v>5.4939487756825244E-6</v>
      </c>
      <c r="L27">
        <f t="shared" si="4"/>
        <v>8.3615641625630117E-6</v>
      </c>
      <c r="M27">
        <f t="shared" si="5"/>
        <v>0.15167999999999998</v>
      </c>
      <c r="N27">
        <f t="shared" si="6"/>
        <v>0.17912560827250606</v>
      </c>
    </row>
    <row r="28" spans="1:14" x14ac:dyDescent="0.25">
      <c r="A28" s="2">
        <v>41571</v>
      </c>
      <c r="B28" s="2">
        <f t="shared" si="0"/>
        <v>35051</v>
      </c>
      <c r="C28" s="2">
        <v>0.18423999999999999</v>
      </c>
      <c r="D28" s="2" t="s">
        <v>24</v>
      </c>
      <c r="E28" s="2" t="s">
        <v>24</v>
      </c>
      <c r="F28" s="2" t="s">
        <v>24</v>
      </c>
      <c r="G28" s="2">
        <v>0.20942533454987833</v>
      </c>
      <c r="H28" s="2"/>
      <c r="I28" s="6">
        <f t="shared" si="1"/>
        <v>1.1366985157939553</v>
      </c>
      <c r="J28" s="6">
        <f t="shared" si="2"/>
        <v>0.82613544201135436</v>
      </c>
      <c r="K28">
        <f t="shared" si="3"/>
        <v>7.4607329842931892E-6</v>
      </c>
      <c r="L28">
        <f t="shared" si="4"/>
        <v>5.0541255047706346E-6</v>
      </c>
      <c r="M28">
        <f t="shared" si="5"/>
        <v>0.17283999999999999</v>
      </c>
      <c r="N28">
        <f t="shared" si="6"/>
        <v>0.2017026307785888</v>
      </c>
    </row>
    <row r="29" spans="1:14" x14ac:dyDescent="0.25">
      <c r="A29" s="2">
        <v>44350</v>
      </c>
      <c r="B29" s="2">
        <f t="shared" si="0"/>
        <v>37830</v>
      </c>
      <c r="C29" s="2">
        <v>0.2084</v>
      </c>
      <c r="D29" s="2" t="s">
        <v>24</v>
      </c>
      <c r="E29" s="2" t="s">
        <v>24</v>
      </c>
      <c r="F29" s="2" t="s">
        <v>24</v>
      </c>
      <c r="G29" s="2">
        <v>0.23055033454987831</v>
      </c>
      <c r="H29" s="2"/>
      <c r="I29" s="6">
        <f t="shared" si="1"/>
        <v>1.1062875938093968</v>
      </c>
      <c r="J29" s="6">
        <f t="shared" si="2"/>
        <v>0.90946877534468762</v>
      </c>
      <c r="K29">
        <f t="shared" si="3"/>
        <v>8.6937747391147955E-6</v>
      </c>
      <c r="L29">
        <f t="shared" si="4"/>
        <v>7.6016552716804525E-6</v>
      </c>
      <c r="M29">
        <f t="shared" si="5"/>
        <v>0.19631999999999999</v>
      </c>
      <c r="N29">
        <f t="shared" si="6"/>
        <v>0.2199878345498783</v>
      </c>
    </row>
    <row r="30" spans="1:14" x14ac:dyDescent="0.25">
      <c r="A30" s="2">
        <v>46161</v>
      </c>
      <c r="B30" s="2">
        <f t="shared" si="0"/>
        <v>39641</v>
      </c>
      <c r="C30" s="2">
        <v>0.22766</v>
      </c>
      <c r="D30" s="2" t="s">
        <v>24</v>
      </c>
      <c r="E30" s="2" t="s">
        <v>24</v>
      </c>
      <c r="F30" s="2" t="s">
        <v>24</v>
      </c>
      <c r="G30" s="2">
        <v>0.24450517031630167</v>
      </c>
      <c r="H30" s="2"/>
      <c r="I30" s="6">
        <f t="shared" si="1"/>
        <v>1.0739926658890524</v>
      </c>
      <c r="J30" s="6">
        <f t="shared" si="2"/>
        <v>0.96451743714517424</v>
      </c>
      <c r="K30">
        <f t="shared" si="3"/>
        <v>1.063500828271673E-5</v>
      </c>
      <c r="L30">
        <f t="shared" si="4"/>
        <v>7.7055967788091481E-6</v>
      </c>
      <c r="M30">
        <f t="shared" si="5"/>
        <v>0.21803</v>
      </c>
      <c r="N30">
        <f t="shared" si="6"/>
        <v>0.23752775243308999</v>
      </c>
    </row>
    <row r="31" spans="1:14" x14ac:dyDescent="0.25">
      <c r="A31" s="2">
        <v>47914</v>
      </c>
      <c r="B31" s="2">
        <f t="shared" si="0"/>
        <v>41394</v>
      </c>
      <c r="C31" s="2">
        <v>0.24901999999999999</v>
      </c>
      <c r="D31" s="2" t="s">
        <v>24</v>
      </c>
      <c r="E31" s="2">
        <v>6.8959999999999994E-2</v>
      </c>
      <c r="F31" s="2" t="s">
        <v>24</v>
      </c>
      <c r="G31" s="2">
        <v>0.25</v>
      </c>
      <c r="H31" s="2"/>
      <c r="I31" s="2">
        <f t="shared" si="1"/>
        <v>1.0039354268733436</v>
      </c>
      <c r="J31" s="2">
        <f t="shared" si="2"/>
        <v>0.98619329388560162</v>
      </c>
      <c r="K31">
        <f t="shared" si="3"/>
        <v>1.218482601254991E-5</v>
      </c>
      <c r="L31">
        <f t="shared" si="4"/>
        <v>3.1345291977742878E-6</v>
      </c>
      <c r="M31">
        <f t="shared" si="5"/>
        <v>0.23834</v>
      </c>
      <c r="N31">
        <f t="shared" si="6"/>
        <v>0.24725258515815085</v>
      </c>
    </row>
    <row r="32" spans="1:14" x14ac:dyDescent="0.25">
      <c r="A32" s="2">
        <v>50024</v>
      </c>
      <c r="B32" s="2">
        <f t="shared" si="0"/>
        <v>43504</v>
      </c>
      <c r="C32" s="2">
        <v>0.26898</v>
      </c>
      <c r="D32" s="2" t="s">
        <v>24</v>
      </c>
      <c r="E32" s="2">
        <v>0.16766</v>
      </c>
      <c r="F32" s="2" t="s">
        <v>24</v>
      </c>
      <c r="G32" s="2" t="s">
        <v>24</v>
      </c>
      <c r="H32" s="2"/>
      <c r="I32" s="2"/>
      <c r="J32" s="2"/>
      <c r="K32">
        <f t="shared" si="3"/>
        <v>9.4597156398104292E-6</v>
      </c>
      <c r="M32">
        <f t="shared" si="5"/>
        <v>0.25900000000000001</v>
      </c>
    </row>
    <row r="33" spans="1:13" x14ac:dyDescent="0.25">
      <c r="A33" s="2">
        <v>51658</v>
      </c>
      <c r="B33" s="2">
        <f t="shared" si="0"/>
        <v>45138</v>
      </c>
      <c r="C33" s="2">
        <v>0.32950000000000002</v>
      </c>
      <c r="D33" s="2" t="s">
        <v>24</v>
      </c>
      <c r="E33" s="2">
        <v>0.23152</v>
      </c>
      <c r="F33" s="2" t="s">
        <v>24</v>
      </c>
      <c r="G33" s="2" t="s">
        <v>24</v>
      </c>
      <c r="H33" s="2"/>
      <c r="I33" s="2"/>
      <c r="J33" s="2"/>
      <c r="K33">
        <f t="shared" si="3"/>
        <v>3.7037943696450443E-5</v>
      </c>
      <c r="M33">
        <f t="shared" si="5"/>
        <v>0.29924000000000001</v>
      </c>
    </row>
    <row r="34" spans="1:13" x14ac:dyDescent="0.25">
      <c r="A34" s="2">
        <v>51951</v>
      </c>
      <c r="B34" s="2">
        <f t="shared" si="0"/>
        <v>45431</v>
      </c>
      <c r="C34" s="2">
        <v>0.35</v>
      </c>
      <c r="D34" s="2" t="s">
        <v>24</v>
      </c>
      <c r="E34" s="2">
        <v>0.26163999999999998</v>
      </c>
      <c r="F34" s="2" t="s">
        <v>24</v>
      </c>
      <c r="G34" s="2" t="s">
        <v>24</v>
      </c>
      <c r="H34" s="2"/>
      <c r="I34" s="2"/>
      <c r="J34" s="2"/>
      <c r="K34">
        <f t="shared" si="3"/>
        <v>6.9965870307167112E-5</v>
      </c>
      <c r="M34">
        <f t="shared" si="5"/>
        <v>0.33975</v>
      </c>
    </row>
    <row r="35" spans="1:13" x14ac:dyDescent="0.25">
      <c r="A35" s="2">
        <v>52051</v>
      </c>
      <c r="B35" s="2">
        <f t="shared" si="0"/>
        <v>45531</v>
      </c>
      <c r="C35" s="2">
        <v>0.35</v>
      </c>
      <c r="D35" s="2" t="s">
        <v>24</v>
      </c>
      <c r="E35" s="2">
        <v>0.35</v>
      </c>
      <c r="F35" s="2" t="s">
        <v>24</v>
      </c>
      <c r="G35" s="2" t="s">
        <v>24</v>
      </c>
      <c r="H35" s="2"/>
      <c r="I35" s="2"/>
      <c r="J35" s="2"/>
    </row>
  </sheetData>
  <mergeCells count="14">
    <mergeCell ref="K11:K14"/>
    <mergeCell ref="L11:L14"/>
    <mergeCell ref="M11:M14"/>
    <mergeCell ref="N11:N14"/>
    <mergeCell ref="I11:I14"/>
    <mergeCell ref="J11:J14"/>
    <mergeCell ref="A11:A14"/>
    <mergeCell ref="C11:G11"/>
    <mergeCell ref="H11:H14"/>
    <mergeCell ref="C12:F12"/>
    <mergeCell ref="G12:G14"/>
    <mergeCell ref="C13:D13"/>
    <mergeCell ref="E13:F13"/>
    <mergeCell ref="B11:B1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0:N31"/>
  <sheetViews>
    <sheetView zoomScale="70" zoomScaleNormal="70" workbookViewId="0">
      <selection activeCell="K11" sqref="K11:N14"/>
    </sheetView>
  </sheetViews>
  <sheetFormatPr defaultRowHeight="15" x14ac:dyDescent="0.25"/>
  <cols>
    <col min="2" max="2" width="10.5703125" customWidth="1"/>
    <col min="8" max="8" width="21.140625" customWidth="1"/>
    <col min="11" max="12" width="12.28515625" bestFit="1" customWidth="1"/>
  </cols>
  <sheetData>
    <row r="10" spans="1:14" ht="53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81" t="s">
        <v>25</v>
      </c>
      <c r="J11" s="81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82"/>
      <c r="J12" s="82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83"/>
      <c r="J13" s="83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84"/>
      <c r="J14" s="84"/>
      <c r="K14" s="90"/>
      <c r="L14" s="90"/>
      <c r="M14" s="90"/>
      <c r="N14" s="90"/>
    </row>
    <row r="15" spans="1:14" ht="19.5" thickBot="1" x14ac:dyDescent="0.3">
      <c r="A15" s="47">
        <v>0</v>
      </c>
      <c r="B15" s="44"/>
      <c r="C15" s="47"/>
      <c r="D15" s="47"/>
      <c r="E15" s="47"/>
      <c r="F15" s="47"/>
      <c r="G15" s="47"/>
      <c r="H15" s="47" t="s">
        <v>39</v>
      </c>
      <c r="I15" s="47"/>
      <c r="J15" s="47"/>
    </row>
    <row r="16" spans="1:14" ht="19.5" thickBot="1" x14ac:dyDescent="0.3">
      <c r="A16" s="49">
        <v>15728</v>
      </c>
      <c r="B16" s="45"/>
      <c r="C16" s="48">
        <v>5.892E-2</v>
      </c>
      <c r="D16" s="48" t="s">
        <v>24</v>
      </c>
      <c r="E16" s="48" t="s">
        <v>24</v>
      </c>
      <c r="F16" s="48" t="s">
        <v>24</v>
      </c>
      <c r="G16" s="48">
        <v>9.3000529212531755E-2</v>
      </c>
      <c r="H16" s="49"/>
      <c r="I16" s="49"/>
      <c r="J16" s="49"/>
    </row>
    <row r="17" spans="1:14" ht="19.5" thickBot="1" x14ac:dyDescent="0.3">
      <c r="A17" s="49">
        <v>0</v>
      </c>
      <c r="B17" s="45">
        <f>A17-61</f>
        <v>-61</v>
      </c>
      <c r="C17" s="48">
        <v>4.9300000000000004E-2</v>
      </c>
      <c r="D17" s="48" t="s">
        <v>24</v>
      </c>
      <c r="E17" s="48" t="s">
        <v>24</v>
      </c>
      <c r="F17" s="48" t="s">
        <v>24</v>
      </c>
      <c r="G17" s="48">
        <v>6.373400673400674E-2</v>
      </c>
      <c r="H17" s="49" t="s">
        <v>40</v>
      </c>
      <c r="I17" s="53">
        <f t="shared" ref="I17:I25" si="0">G17/C17</f>
        <v>1.2927790412577431</v>
      </c>
      <c r="J17" s="53">
        <f t="shared" ref="J17:J25" si="1">G17/0.253</f>
        <v>0.25191307009488828</v>
      </c>
    </row>
    <row r="18" spans="1:14" ht="19.5" thickBot="1" x14ac:dyDescent="0.3">
      <c r="A18" s="59">
        <f>A19-((A19-A17)*(C19-C18)/(C19-C17))</f>
        <v>61.349693251533608</v>
      </c>
      <c r="B18" s="60">
        <v>0</v>
      </c>
      <c r="C18" s="61">
        <v>0.05</v>
      </c>
      <c r="D18" s="61"/>
      <c r="E18" s="61"/>
      <c r="F18" s="61"/>
      <c r="G18" s="61">
        <f>C18*1.3</f>
        <v>6.5000000000000002E-2</v>
      </c>
      <c r="H18" s="62"/>
      <c r="I18" s="63">
        <f t="shared" si="0"/>
        <v>1.3</v>
      </c>
      <c r="J18" s="63">
        <f t="shared" si="1"/>
        <v>0.25691699604743085</v>
      </c>
    </row>
    <row r="19" spans="1:14" ht="19.5" thickBot="1" x14ac:dyDescent="0.3">
      <c r="A19" s="50">
        <v>2000</v>
      </c>
      <c r="B19" s="45">
        <f t="shared" ref="B19:B29" si="2">A19-61</f>
        <v>1939</v>
      </c>
      <c r="C19" s="48">
        <v>7.2120000000000004E-2</v>
      </c>
      <c r="D19" s="48" t="s">
        <v>24</v>
      </c>
      <c r="E19" s="48" t="s">
        <v>24</v>
      </c>
      <c r="F19" s="48" t="s">
        <v>24</v>
      </c>
      <c r="G19" s="48">
        <v>9.4065095398428722E-2</v>
      </c>
      <c r="H19" s="49"/>
      <c r="I19" s="53">
        <f t="shared" si="0"/>
        <v>1.3042858485639035</v>
      </c>
      <c r="J19" s="53">
        <f t="shared" si="1"/>
        <v>0.37179879604122024</v>
      </c>
      <c r="K19">
        <f>(C19-C18)/(B19-B18)</f>
        <v>1.1407942238267149E-5</v>
      </c>
      <c r="L19">
        <f>(G19-G18)/(B19-B18)</f>
        <v>1.498973460465638E-5</v>
      </c>
      <c r="M19" s="67">
        <f>AVERAGE(C18:C19)</f>
        <v>6.1060000000000003E-2</v>
      </c>
      <c r="N19" s="67">
        <f>AVERAGE(G18:G19)</f>
        <v>7.9532547699214362E-2</v>
      </c>
    </row>
    <row r="20" spans="1:14" ht="19.5" thickBot="1" x14ac:dyDescent="0.3">
      <c r="A20" s="50">
        <v>8907</v>
      </c>
      <c r="B20" s="45">
        <f t="shared" si="2"/>
        <v>8846</v>
      </c>
      <c r="C20" s="48">
        <v>9.0459999999999999E-2</v>
      </c>
      <c r="D20" s="48" t="s">
        <v>24</v>
      </c>
      <c r="E20" s="48" t="s">
        <v>24</v>
      </c>
      <c r="F20" s="48" t="s">
        <v>24</v>
      </c>
      <c r="G20" s="48">
        <v>0.12899102132435467</v>
      </c>
      <c r="H20" s="49"/>
      <c r="I20" s="53">
        <f t="shared" si="0"/>
        <v>1.425945404867949</v>
      </c>
      <c r="J20" s="53">
        <f t="shared" si="1"/>
        <v>0.50984593408835832</v>
      </c>
      <c r="K20">
        <f t="shared" ref="K20:K28" si="3">(C20-C19)/(B20-B19)</f>
        <v>2.6552772549587368E-6</v>
      </c>
      <c r="L20">
        <f t="shared" ref="L20:L25" si="4">(G20-G19)/(B20-B19)</f>
        <v>5.0565985125128053E-6</v>
      </c>
      <c r="M20" s="67">
        <f t="shared" ref="M20:M28" si="5">AVERAGE(C19:C20)</f>
        <v>8.1290000000000001E-2</v>
      </c>
      <c r="N20" s="67">
        <f t="shared" ref="N20:N25" si="6">AVERAGE(G19:G20)</f>
        <v>0.11152805836139169</v>
      </c>
    </row>
    <row r="21" spans="1:14" ht="19.5" thickBot="1" x14ac:dyDescent="0.3">
      <c r="A21" s="50">
        <v>14657</v>
      </c>
      <c r="B21" s="45">
        <f t="shared" si="2"/>
        <v>14596</v>
      </c>
      <c r="C21" s="48">
        <v>0.10926</v>
      </c>
      <c r="D21" s="48" t="s">
        <v>24</v>
      </c>
      <c r="E21" s="48" t="s">
        <v>24</v>
      </c>
      <c r="F21" s="48" t="s">
        <v>24</v>
      </c>
      <c r="G21" s="48">
        <v>0.16025140291806958</v>
      </c>
      <c r="H21" s="49"/>
      <c r="I21" s="53">
        <f t="shared" si="0"/>
        <v>1.4666978118073366</v>
      </c>
      <c r="J21" s="53">
        <f t="shared" si="1"/>
        <v>0.63340475461687584</v>
      </c>
      <c r="K21">
        <f t="shared" si="3"/>
        <v>3.2695652173913037E-6</v>
      </c>
      <c r="L21">
        <f t="shared" si="4"/>
        <v>5.4365881032547675E-6</v>
      </c>
      <c r="M21" s="67">
        <f t="shared" si="5"/>
        <v>9.9860000000000004E-2</v>
      </c>
      <c r="N21" s="67">
        <f t="shared" si="6"/>
        <v>0.14462121212121212</v>
      </c>
    </row>
    <row r="22" spans="1:14" ht="19.5" thickBot="1" x14ac:dyDescent="0.3">
      <c r="A22" s="50">
        <v>19658</v>
      </c>
      <c r="B22" s="45">
        <f t="shared" si="2"/>
        <v>19597</v>
      </c>
      <c r="C22" s="48">
        <v>0.13023999999999999</v>
      </c>
      <c r="D22" s="48" t="s">
        <v>24</v>
      </c>
      <c r="E22" s="48" t="s">
        <v>24</v>
      </c>
      <c r="F22" s="48" t="s">
        <v>24</v>
      </c>
      <c r="G22" s="48">
        <v>0.17857912457912459</v>
      </c>
      <c r="H22" s="49"/>
      <c r="I22" s="53">
        <f t="shared" si="0"/>
        <v>1.3711542120633031</v>
      </c>
      <c r="J22" s="53">
        <f t="shared" si="1"/>
        <v>0.70584634220997855</v>
      </c>
      <c r="K22">
        <f t="shared" si="3"/>
        <v>4.1951609678064385E-6</v>
      </c>
      <c r="L22">
        <f t="shared" si="4"/>
        <v>3.6648113699370142E-6</v>
      </c>
      <c r="M22" s="67">
        <f t="shared" si="5"/>
        <v>0.11975</v>
      </c>
      <c r="N22" s="67">
        <f t="shared" si="6"/>
        <v>0.16941526374859708</v>
      </c>
    </row>
    <row r="23" spans="1:14" ht="19.5" thickBot="1" x14ac:dyDescent="0.3">
      <c r="A23" s="50">
        <v>23277</v>
      </c>
      <c r="B23" s="45">
        <f t="shared" si="2"/>
        <v>23216</v>
      </c>
      <c r="C23" s="48">
        <v>0.15415999999999999</v>
      </c>
      <c r="D23" s="48" t="s">
        <v>24</v>
      </c>
      <c r="E23" s="48" t="s">
        <v>24</v>
      </c>
      <c r="F23" s="48" t="s">
        <v>24</v>
      </c>
      <c r="G23" s="48">
        <v>0.20305050505050504</v>
      </c>
      <c r="H23" s="49"/>
      <c r="I23" s="53">
        <f t="shared" si="0"/>
        <v>1.3171413145466078</v>
      </c>
      <c r="J23" s="53">
        <f t="shared" si="1"/>
        <v>0.80257116620752977</v>
      </c>
      <c r="K23">
        <f t="shared" si="3"/>
        <v>6.6095606521138431E-6</v>
      </c>
      <c r="L23">
        <f t="shared" si="4"/>
        <v>6.7619177870628488E-6</v>
      </c>
      <c r="M23" s="67">
        <f t="shared" si="5"/>
        <v>0.14219999999999999</v>
      </c>
      <c r="N23" s="67">
        <f t="shared" si="6"/>
        <v>0.19081481481481483</v>
      </c>
    </row>
    <row r="24" spans="1:14" ht="19.5" thickBot="1" x14ac:dyDescent="0.3">
      <c r="A24" s="50">
        <v>26231</v>
      </c>
      <c r="B24" s="45">
        <f t="shared" si="2"/>
        <v>26170</v>
      </c>
      <c r="C24" s="48">
        <v>0.19918</v>
      </c>
      <c r="D24" s="48" t="s">
        <v>24</v>
      </c>
      <c r="E24" s="48" t="s">
        <v>24</v>
      </c>
      <c r="F24" s="48" t="s">
        <v>24</v>
      </c>
      <c r="G24" s="48">
        <v>0.24830190796857463</v>
      </c>
      <c r="H24" s="48"/>
      <c r="I24" s="52">
        <f t="shared" si="0"/>
        <v>1.2466206846499379</v>
      </c>
      <c r="J24" s="52">
        <f t="shared" si="1"/>
        <v>0.98143046627895103</v>
      </c>
      <c r="K24">
        <f t="shared" si="3"/>
        <v>1.5240352064996617E-5</v>
      </c>
      <c r="L24">
        <f t="shared" si="4"/>
        <v>1.5318687514580092E-5</v>
      </c>
      <c r="M24" s="67">
        <f t="shared" si="5"/>
        <v>0.17666999999999999</v>
      </c>
      <c r="N24" s="67">
        <f t="shared" si="6"/>
        <v>0.22567620650953985</v>
      </c>
    </row>
    <row r="25" spans="1:14" ht="19.5" thickBot="1" x14ac:dyDescent="0.3">
      <c r="A25" s="50">
        <v>27107</v>
      </c>
      <c r="B25" s="45">
        <f t="shared" si="2"/>
        <v>27046</v>
      </c>
      <c r="C25" s="48">
        <v>0.22444</v>
      </c>
      <c r="D25" s="48" t="s">
        <v>24</v>
      </c>
      <c r="E25" s="48">
        <v>1.7780000000000001E-2</v>
      </c>
      <c r="F25" s="48" t="s">
        <v>24</v>
      </c>
      <c r="G25" s="48">
        <v>0.25</v>
      </c>
      <c r="H25" s="48" t="s">
        <v>41</v>
      </c>
      <c r="I25" s="48">
        <f t="shared" si="0"/>
        <v>1.1138834432364997</v>
      </c>
      <c r="J25" s="48">
        <f t="shared" si="1"/>
        <v>0.98814229249011853</v>
      </c>
      <c r="K25">
        <f t="shared" si="3"/>
        <v>2.8835616438356168E-5</v>
      </c>
      <c r="L25">
        <f t="shared" si="4"/>
        <v>1.9384612230883271E-6</v>
      </c>
      <c r="M25" s="67">
        <f t="shared" si="5"/>
        <v>0.21181</v>
      </c>
      <c r="N25" s="67">
        <f t="shared" si="6"/>
        <v>0.24915095398428733</v>
      </c>
    </row>
    <row r="26" spans="1:14" ht="19.5" thickBot="1" x14ac:dyDescent="0.3">
      <c r="A26" s="50">
        <v>27713</v>
      </c>
      <c r="B26" s="45">
        <f t="shared" si="2"/>
        <v>27652</v>
      </c>
      <c r="C26" s="48">
        <v>0.25858000000000003</v>
      </c>
      <c r="D26" s="48" t="s">
        <v>24</v>
      </c>
      <c r="E26" s="48">
        <v>5.3940000000000002E-2</v>
      </c>
      <c r="F26" s="48" t="s">
        <v>24</v>
      </c>
      <c r="G26" s="48" t="s">
        <v>24</v>
      </c>
      <c r="H26" s="48"/>
      <c r="I26" s="48"/>
      <c r="J26" s="48"/>
      <c r="K26">
        <f t="shared" si="3"/>
        <v>5.6336633663366391E-5</v>
      </c>
      <c r="M26" s="67">
        <f t="shared" si="5"/>
        <v>0.24151</v>
      </c>
    </row>
    <row r="27" spans="1:14" ht="19.5" thickBot="1" x14ac:dyDescent="0.3">
      <c r="A27" s="50">
        <v>27907</v>
      </c>
      <c r="B27" s="45">
        <f t="shared" si="2"/>
        <v>27846</v>
      </c>
      <c r="C27" s="48">
        <v>0.28704000000000002</v>
      </c>
      <c r="D27" s="48" t="s">
        <v>24</v>
      </c>
      <c r="E27" s="48">
        <v>9.4439999999999996E-2</v>
      </c>
      <c r="F27" s="48" t="s">
        <v>24</v>
      </c>
      <c r="G27" s="48" t="s">
        <v>24</v>
      </c>
      <c r="H27" s="48"/>
      <c r="I27" s="48"/>
      <c r="J27" s="48"/>
      <c r="K27">
        <f t="shared" si="3"/>
        <v>1.4670103092783498E-4</v>
      </c>
      <c r="M27" s="67">
        <f t="shared" si="5"/>
        <v>0.27281</v>
      </c>
    </row>
    <row r="28" spans="1:14" ht="19.5" thickBot="1" x14ac:dyDescent="0.3">
      <c r="A28" s="50">
        <v>28045</v>
      </c>
      <c r="B28" s="45">
        <f t="shared" si="2"/>
        <v>27984</v>
      </c>
      <c r="C28" s="48">
        <v>0.34598000000000001</v>
      </c>
      <c r="D28" s="48" t="s">
        <v>24</v>
      </c>
      <c r="E28" s="48">
        <v>0.14677999999999999</v>
      </c>
      <c r="F28" s="48" t="s">
        <v>24</v>
      </c>
      <c r="G28" s="48" t="s">
        <v>24</v>
      </c>
      <c r="H28" s="48"/>
      <c r="I28" s="48"/>
      <c r="J28" s="48"/>
      <c r="K28">
        <f t="shared" si="3"/>
        <v>4.2710144927536229E-4</v>
      </c>
      <c r="M28" s="67">
        <f t="shared" si="5"/>
        <v>0.31651000000000001</v>
      </c>
    </row>
    <row r="29" spans="1:14" ht="19.5" thickBot="1" x14ac:dyDescent="0.3">
      <c r="A29" s="50">
        <v>28077</v>
      </c>
      <c r="B29" s="45">
        <f t="shared" si="2"/>
        <v>28016</v>
      </c>
      <c r="C29" s="48">
        <v>0.34598000000000001</v>
      </c>
      <c r="D29" s="48" t="s">
        <v>24</v>
      </c>
      <c r="E29" s="48">
        <v>0.34598000000000001</v>
      </c>
      <c r="F29" s="48" t="s">
        <v>24</v>
      </c>
      <c r="G29" s="48" t="s">
        <v>24</v>
      </c>
      <c r="H29" s="46"/>
      <c r="I29" s="46"/>
      <c r="J29" s="46"/>
    </row>
    <row r="30" spans="1:14" ht="15.6" customHeight="1" x14ac:dyDescent="0.25">
      <c r="A30" s="109" t="s">
        <v>42</v>
      </c>
      <c r="B30" s="110"/>
      <c r="C30" s="110"/>
      <c r="D30" s="110"/>
      <c r="E30" s="110"/>
      <c r="F30" s="110"/>
      <c r="G30" s="110"/>
      <c r="H30" s="110"/>
      <c r="I30" s="110"/>
      <c r="J30" s="111"/>
    </row>
    <row r="31" spans="1:14" ht="15.75" thickBot="1" x14ac:dyDescent="0.3">
      <c r="A31" s="112"/>
      <c r="B31" s="113"/>
      <c r="C31" s="113"/>
      <c r="D31" s="113"/>
      <c r="E31" s="113"/>
      <c r="F31" s="113"/>
      <c r="G31" s="113"/>
      <c r="H31" s="113"/>
      <c r="I31" s="113"/>
      <c r="J31" s="114"/>
    </row>
  </sheetData>
  <mergeCells count="15">
    <mergeCell ref="K11:K14"/>
    <mergeCell ref="L11:L14"/>
    <mergeCell ref="M11:M14"/>
    <mergeCell ref="N11:N14"/>
    <mergeCell ref="A30:J31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0:N35"/>
  <sheetViews>
    <sheetView topLeftCell="A3" zoomScale="85" zoomScaleNormal="85" workbookViewId="0">
      <selection activeCell="N21" sqref="N21"/>
    </sheetView>
  </sheetViews>
  <sheetFormatPr defaultRowHeight="15" x14ac:dyDescent="0.25"/>
  <cols>
    <col min="2" max="2" width="10.5703125" customWidth="1"/>
    <col min="8" max="8" width="21.140625" customWidth="1"/>
  </cols>
  <sheetData>
    <row r="10" spans="1:14" ht="53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81" t="s">
        <v>25</v>
      </c>
      <c r="J11" s="81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82"/>
      <c r="J12" s="82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83"/>
      <c r="J13" s="83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84"/>
      <c r="J14" s="84"/>
      <c r="K14" s="90"/>
      <c r="L14" s="90"/>
      <c r="M14" s="90"/>
      <c r="N14" s="90"/>
    </row>
    <row r="15" spans="1:14" ht="16.5" thickBot="1" x14ac:dyDescent="0.3">
      <c r="A15" s="47">
        <v>0</v>
      </c>
      <c r="B15" s="47"/>
      <c r="C15" s="47"/>
      <c r="D15" s="47"/>
      <c r="E15" s="47"/>
      <c r="F15" s="47"/>
      <c r="G15" s="47"/>
      <c r="H15" s="47" t="s">
        <v>39</v>
      </c>
      <c r="I15" s="47"/>
      <c r="J15" s="47"/>
    </row>
    <row r="16" spans="1:14" ht="16.5" thickBot="1" x14ac:dyDescent="0.3">
      <c r="A16" s="49">
        <v>305446</v>
      </c>
      <c r="B16" s="49"/>
      <c r="C16" s="49">
        <v>3.3980000000000003E-2</v>
      </c>
      <c r="D16" s="49"/>
      <c r="E16" s="49"/>
      <c r="F16" s="49"/>
      <c r="G16" s="51">
        <v>3.3660000000000002E-2</v>
      </c>
      <c r="H16" s="49"/>
      <c r="I16" s="49"/>
      <c r="J16" s="49"/>
    </row>
    <row r="17" spans="1:14" ht="16.5" thickBot="1" x14ac:dyDescent="0.3">
      <c r="A17" s="49">
        <v>0</v>
      </c>
      <c r="B17" s="49">
        <f>A17-3755</f>
        <v>-3755</v>
      </c>
      <c r="C17" s="49">
        <v>3.1379999999999998E-2</v>
      </c>
      <c r="D17" s="49"/>
      <c r="E17" s="49"/>
      <c r="F17" s="49"/>
      <c r="G17" s="51">
        <v>2.9960000000000001E-2</v>
      </c>
      <c r="H17" s="49" t="s">
        <v>40</v>
      </c>
      <c r="I17" s="53">
        <f>G17/C17</f>
        <v>0.95474824729126839</v>
      </c>
      <c r="J17" s="53">
        <f>G17/0.2545</f>
        <v>0.11772102161100197</v>
      </c>
    </row>
    <row r="18" spans="1:14" ht="16.5" thickBot="1" x14ac:dyDescent="0.3">
      <c r="A18" s="49">
        <v>2782</v>
      </c>
      <c r="B18" s="49">
        <f t="shared" ref="B18:B33" si="0">A18-3755</f>
        <v>-973</v>
      </c>
      <c r="C18" s="49">
        <v>4.5220000000000003E-2</v>
      </c>
      <c r="D18" s="49"/>
      <c r="E18" s="49"/>
      <c r="F18" s="49"/>
      <c r="G18" s="51">
        <v>4.1399999999999999E-2</v>
      </c>
      <c r="H18" s="49"/>
      <c r="I18" s="53">
        <f t="shared" ref="I18:I31" si="1">G18/C18</f>
        <v>0.91552410437859344</v>
      </c>
      <c r="J18" s="53">
        <f t="shared" ref="J18:J31" si="2">G18/0.2545</f>
        <v>0.16267190569744597</v>
      </c>
    </row>
    <row r="19" spans="1:14" ht="16.5" thickBot="1" x14ac:dyDescent="0.3">
      <c r="A19" s="59">
        <f>A20-((A20-A18)*(C20-C19)/(C20-C18))</f>
        <v>3755.0714285714284</v>
      </c>
      <c r="B19" s="62">
        <v>0</v>
      </c>
      <c r="C19" s="62">
        <v>0.05</v>
      </c>
      <c r="D19" s="62"/>
      <c r="E19" s="62"/>
      <c r="F19" s="62"/>
      <c r="G19" s="62">
        <f>C19*1</f>
        <v>0.05</v>
      </c>
      <c r="H19" s="62"/>
      <c r="I19" s="63">
        <f t="shared" si="1"/>
        <v>1</v>
      </c>
      <c r="J19" s="63">
        <f t="shared" si="2"/>
        <v>0.19646365422396858</v>
      </c>
    </row>
    <row r="20" spans="1:14" ht="16.5" thickBot="1" x14ac:dyDescent="0.3">
      <c r="A20" s="49">
        <v>5005</v>
      </c>
      <c r="B20" s="49">
        <f t="shared" si="0"/>
        <v>1250</v>
      </c>
      <c r="C20" s="49">
        <v>5.6140000000000002E-2</v>
      </c>
      <c r="D20" s="49"/>
      <c r="E20" s="49"/>
      <c r="F20" s="49"/>
      <c r="G20" s="51">
        <v>5.9220000000000002E-2</v>
      </c>
      <c r="H20" s="49"/>
      <c r="I20" s="53">
        <f t="shared" si="1"/>
        <v>1.054862842892768</v>
      </c>
      <c r="J20" s="53">
        <f t="shared" si="2"/>
        <v>0.23269155206286837</v>
      </c>
      <c r="K20">
        <f>(C20-C19)/(B20-B19)</f>
        <v>4.9119999999999997E-6</v>
      </c>
      <c r="L20">
        <f>(G20-G19)/(B20-B19)</f>
        <v>7.3759999999999993E-6</v>
      </c>
      <c r="M20" s="67">
        <f>AVERAGE(C19:C20)</f>
        <v>5.3070000000000006E-2</v>
      </c>
      <c r="N20" s="67">
        <f>AVERAGE(G19:G20)</f>
        <v>5.4610000000000006E-2</v>
      </c>
    </row>
    <row r="21" spans="1:14" ht="16.5" thickBot="1" x14ac:dyDescent="0.3">
      <c r="A21" s="49">
        <v>5977</v>
      </c>
      <c r="B21" s="49">
        <f t="shared" si="0"/>
        <v>2222</v>
      </c>
      <c r="C21" s="49">
        <v>6.6780000000000006E-2</v>
      </c>
      <c r="D21" s="49"/>
      <c r="E21" s="49"/>
      <c r="F21" s="49"/>
      <c r="G21" s="51">
        <v>6.1879999999999998E-2</v>
      </c>
      <c r="H21" s="49"/>
      <c r="I21" s="53">
        <f t="shared" si="1"/>
        <v>0.92662473794549249</v>
      </c>
      <c r="J21" s="53">
        <f t="shared" si="2"/>
        <v>0.24314341846758347</v>
      </c>
      <c r="K21">
        <f t="shared" ref="K21:K33" si="3">(C21-C20)/(B21-B20)</f>
        <v>1.0946502057613172E-5</v>
      </c>
      <c r="L21">
        <f t="shared" ref="L21:L31" si="4">(G21-G20)/(B21-B20)</f>
        <v>2.7366255144032878E-6</v>
      </c>
      <c r="M21" s="67">
        <f t="shared" ref="M21:M33" si="5">AVERAGE(C20:C21)</f>
        <v>6.1460000000000001E-2</v>
      </c>
      <c r="N21" s="67">
        <f t="shared" ref="N21:N31" si="6">AVERAGE(G20:G21)</f>
        <v>6.055E-2</v>
      </c>
    </row>
    <row r="22" spans="1:14" ht="16.5" thickBot="1" x14ac:dyDescent="0.3">
      <c r="A22" s="49">
        <v>7998</v>
      </c>
      <c r="B22" s="49">
        <f t="shared" si="0"/>
        <v>4243</v>
      </c>
      <c r="C22" s="49">
        <v>7.6799999999999993E-2</v>
      </c>
      <c r="D22" s="49"/>
      <c r="E22" s="49"/>
      <c r="F22" s="49"/>
      <c r="G22" s="51">
        <v>7.5219999999999995E-2</v>
      </c>
      <c r="H22" s="49"/>
      <c r="I22" s="53">
        <f t="shared" si="1"/>
        <v>0.97942708333333339</v>
      </c>
      <c r="J22" s="53">
        <f t="shared" si="2"/>
        <v>0.2955599214145383</v>
      </c>
      <c r="K22">
        <f t="shared" si="3"/>
        <v>4.9579416130628342E-6</v>
      </c>
      <c r="L22">
        <f t="shared" si="4"/>
        <v>6.6006927263730819E-6</v>
      </c>
      <c r="M22" s="67">
        <f t="shared" si="5"/>
        <v>7.1789999999999993E-2</v>
      </c>
      <c r="N22" s="67">
        <f t="shared" si="6"/>
        <v>6.855E-2</v>
      </c>
    </row>
    <row r="23" spans="1:14" ht="16.5" thickBot="1" x14ac:dyDescent="0.3">
      <c r="A23" s="49">
        <v>9389</v>
      </c>
      <c r="B23" s="49">
        <f t="shared" si="0"/>
        <v>5634</v>
      </c>
      <c r="C23" s="49">
        <v>8.5349999999999995E-2</v>
      </c>
      <c r="D23" s="49"/>
      <c r="E23" s="49"/>
      <c r="F23" s="49"/>
      <c r="G23" s="51">
        <v>8.0299999999999996E-2</v>
      </c>
      <c r="H23" s="49"/>
      <c r="I23" s="53">
        <f t="shared" si="1"/>
        <v>0.94083186877562974</v>
      </c>
      <c r="J23" s="53">
        <f t="shared" si="2"/>
        <v>0.31552062868369352</v>
      </c>
      <c r="K23">
        <f t="shared" si="3"/>
        <v>6.1466570812365217E-6</v>
      </c>
      <c r="L23">
        <f t="shared" si="4"/>
        <v>3.6520488856937464E-6</v>
      </c>
      <c r="M23" s="67">
        <f t="shared" si="5"/>
        <v>8.1074999999999994E-2</v>
      </c>
      <c r="N23" s="67">
        <f t="shared" si="6"/>
        <v>7.7759999999999996E-2</v>
      </c>
    </row>
    <row r="24" spans="1:14" ht="16.5" thickBot="1" x14ac:dyDescent="0.3">
      <c r="A24" s="49">
        <v>10241</v>
      </c>
      <c r="B24" s="49">
        <f t="shared" si="0"/>
        <v>6486</v>
      </c>
      <c r="C24" s="49">
        <v>9.3399999999999997E-2</v>
      </c>
      <c r="D24" s="49"/>
      <c r="E24" s="49"/>
      <c r="F24" s="49"/>
      <c r="G24" s="51">
        <v>8.4580000000000002E-2</v>
      </c>
      <c r="H24" s="49"/>
      <c r="I24" s="53">
        <f t="shared" si="1"/>
        <v>0.90556745182012854</v>
      </c>
      <c r="J24" s="53">
        <f t="shared" si="2"/>
        <v>0.33233791748526526</v>
      </c>
      <c r="K24">
        <f t="shared" si="3"/>
        <v>9.4483568075117389E-6</v>
      </c>
      <c r="L24">
        <f t="shared" si="4"/>
        <v>5.0234741784037632E-6</v>
      </c>
      <c r="M24" s="67">
        <f t="shared" si="5"/>
        <v>8.9374999999999996E-2</v>
      </c>
      <c r="N24" s="67">
        <f t="shared" si="6"/>
        <v>8.2439999999999999E-2</v>
      </c>
    </row>
    <row r="25" spans="1:14" ht="16.5" thickBot="1" x14ac:dyDescent="0.3">
      <c r="A25" s="49">
        <v>11454</v>
      </c>
      <c r="B25" s="49">
        <f t="shared" si="0"/>
        <v>7699</v>
      </c>
      <c r="C25" s="49">
        <v>0.10718</v>
      </c>
      <c r="D25" s="49"/>
      <c r="E25" s="49"/>
      <c r="F25" s="49"/>
      <c r="G25" s="51">
        <v>9.6159999999999995E-2</v>
      </c>
      <c r="H25" s="49"/>
      <c r="I25" s="53">
        <f t="shared" si="1"/>
        <v>0.89718231013248739</v>
      </c>
      <c r="J25" s="53">
        <f t="shared" si="2"/>
        <v>0.3778388998035363</v>
      </c>
      <c r="K25">
        <f t="shared" si="3"/>
        <v>1.1360263808738665E-5</v>
      </c>
      <c r="L25">
        <f t="shared" si="4"/>
        <v>9.54657873042044E-6</v>
      </c>
      <c r="M25" s="67">
        <f t="shared" si="5"/>
        <v>0.10028999999999999</v>
      </c>
      <c r="N25" s="67">
        <f t="shared" si="6"/>
        <v>9.0370000000000006E-2</v>
      </c>
    </row>
    <row r="26" spans="1:14" ht="16.5" thickBot="1" x14ac:dyDescent="0.3">
      <c r="A26" s="49">
        <v>12186</v>
      </c>
      <c r="B26" s="49">
        <f t="shared" si="0"/>
        <v>8431</v>
      </c>
      <c r="C26" s="49">
        <v>0.12186</v>
      </c>
      <c r="D26" s="49"/>
      <c r="E26" s="49"/>
      <c r="F26" s="49"/>
      <c r="G26" s="51">
        <v>0.10824</v>
      </c>
      <c r="H26" s="49"/>
      <c r="I26" s="53">
        <f t="shared" si="1"/>
        <v>0.88823239783357955</v>
      </c>
      <c r="J26" s="53">
        <f t="shared" si="2"/>
        <v>0.42530451866404717</v>
      </c>
      <c r="K26">
        <f t="shared" si="3"/>
        <v>2.0054644808743168E-5</v>
      </c>
      <c r="L26">
        <f t="shared" si="4"/>
        <v>1.6502732240437168E-5</v>
      </c>
      <c r="M26" s="67">
        <f t="shared" si="5"/>
        <v>0.11452</v>
      </c>
      <c r="N26" s="67">
        <f t="shared" si="6"/>
        <v>0.1022</v>
      </c>
    </row>
    <row r="27" spans="1:14" ht="16.5" thickBot="1" x14ac:dyDescent="0.3">
      <c r="A27" s="49">
        <v>14289</v>
      </c>
      <c r="B27" s="49">
        <f t="shared" si="0"/>
        <v>10534</v>
      </c>
      <c r="C27" s="49">
        <v>0.14532</v>
      </c>
      <c r="D27" s="49"/>
      <c r="E27" s="49"/>
      <c r="F27" s="49"/>
      <c r="G27" s="51">
        <v>0.11944</v>
      </c>
      <c r="H27" s="49"/>
      <c r="I27" s="53">
        <f t="shared" si="1"/>
        <v>0.82191026699697223</v>
      </c>
      <c r="J27" s="53">
        <f t="shared" si="2"/>
        <v>0.46931237721021613</v>
      </c>
      <c r="K27">
        <f t="shared" si="3"/>
        <v>1.1155492154065625E-5</v>
      </c>
      <c r="L27">
        <f t="shared" si="4"/>
        <v>5.3257251545411322E-6</v>
      </c>
      <c r="M27" s="67">
        <f t="shared" si="5"/>
        <v>0.13358999999999999</v>
      </c>
      <c r="N27" s="67">
        <f t="shared" si="6"/>
        <v>0.11384</v>
      </c>
    </row>
    <row r="28" spans="1:14" ht="16.5" thickBot="1" x14ac:dyDescent="0.3">
      <c r="A28" s="49">
        <v>15510</v>
      </c>
      <c r="B28" s="49">
        <f t="shared" si="0"/>
        <v>11755</v>
      </c>
      <c r="C28" s="49">
        <v>0.16602</v>
      </c>
      <c r="D28" s="49"/>
      <c r="E28" s="49"/>
      <c r="F28" s="49"/>
      <c r="G28" s="51">
        <v>0.12529999999999999</v>
      </c>
      <c r="H28" s="49"/>
      <c r="I28" s="53">
        <f t="shared" si="1"/>
        <v>0.75472834598241167</v>
      </c>
      <c r="J28" s="53">
        <f t="shared" si="2"/>
        <v>0.49233791748526518</v>
      </c>
      <c r="K28">
        <f t="shared" si="3"/>
        <v>1.695331695331695E-5</v>
      </c>
      <c r="L28">
        <f t="shared" si="4"/>
        <v>4.799344799344791E-6</v>
      </c>
      <c r="M28" s="67">
        <f t="shared" si="5"/>
        <v>0.15567</v>
      </c>
      <c r="N28" s="67">
        <f t="shared" si="6"/>
        <v>0.12237000000000001</v>
      </c>
    </row>
    <row r="29" spans="1:14" ht="16.5" thickBot="1" x14ac:dyDescent="0.3">
      <c r="A29" s="49">
        <v>16145</v>
      </c>
      <c r="B29" s="49">
        <f t="shared" si="0"/>
        <v>12390</v>
      </c>
      <c r="C29" s="49">
        <v>0.18514</v>
      </c>
      <c r="D29" s="49"/>
      <c r="E29" s="49"/>
      <c r="F29" s="49"/>
      <c r="G29" s="51">
        <v>0.13436000000000001</v>
      </c>
      <c r="H29" s="49"/>
      <c r="I29" s="53">
        <f t="shared" si="1"/>
        <v>0.72572107594252999</v>
      </c>
      <c r="J29" s="53">
        <f t="shared" si="2"/>
        <v>0.52793713163064837</v>
      </c>
      <c r="K29">
        <f t="shared" si="3"/>
        <v>3.0110236220472438E-5</v>
      </c>
      <c r="L29">
        <f t="shared" si="4"/>
        <v>1.426771653543309E-5</v>
      </c>
      <c r="M29" s="67">
        <f t="shared" si="5"/>
        <v>0.17558000000000001</v>
      </c>
      <c r="N29" s="67">
        <f t="shared" si="6"/>
        <v>0.12983</v>
      </c>
    </row>
    <row r="30" spans="1:14" ht="16.5" thickBot="1" x14ac:dyDescent="0.3">
      <c r="A30" s="49">
        <v>16460</v>
      </c>
      <c r="B30" s="49">
        <f t="shared" si="0"/>
        <v>12705</v>
      </c>
      <c r="C30" s="49">
        <v>0.20562</v>
      </c>
      <c r="D30" s="49"/>
      <c r="E30" s="49"/>
      <c r="F30" s="49"/>
      <c r="G30" s="51">
        <v>0.14094000000000001</v>
      </c>
      <c r="H30" s="49"/>
      <c r="I30" s="53">
        <f t="shared" si="1"/>
        <v>0.68543915961482349</v>
      </c>
      <c r="J30" s="53">
        <f t="shared" si="2"/>
        <v>0.55379174852652258</v>
      </c>
      <c r="K30">
        <f t="shared" si="3"/>
        <v>6.5015873015873013E-5</v>
      </c>
      <c r="L30">
        <f t="shared" si="4"/>
        <v>2.0888888888888897E-5</v>
      </c>
      <c r="M30" s="67">
        <f t="shared" si="5"/>
        <v>0.19538</v>
      </c>
      <c r="N30" s="67">
        <f t="shared" si="6"/>
        <v>0.13764999999999999</v>
      </c>
    </row>
    <row r="31" spans="1:14" ht="16.5" thickBot="1" x14ac:dyDescent="0.3">
      <c r="A31" s="49">
        <v>16917</v>
      </c>
      <c r="B31" s="49">
        <f t="shared" si="0"/>
        <v>13162</v>
      </c>
      <c r="C31" s="49">
        <v>0.22036</v>
      </c>
      <c r="D31" s="49"/>
      <c r="E31" s="49">
        <v>5.772E-2</v>
      </c>
      <c r="F31" s="49"/>
      <c r="G31" s="51">
        <v>0.25</v>
      </c>
      <c r="H31" s="49" t="s">
        <v>43</v>
      </c>
      <c r="I31" s="49">
        <f t="shared" si="1"/>
        <v>1.1345071700853149</v>
      </c>
      <c r="J31" s="49">
        <f t="shared" si="2"/>
        <v>0.98231827111984282</v>
      </c>
      <c r="K31">
        <f t="shared" si="3"/>
        <v>3.2253829321663024E-5</v>
      </c>
      <c r="L31">
        <f t="shared" si="4"/>
        <v>2.386433260393873E-4</v>
      </c>
      <c r="M31" s="67">
        <f t="shared" si="5"/>
        <v>0.21299000000000001</v>
      </c>
      <c r="N31" s="67">
        <f t="shared" si="6"/>
        <v>0.19547</v>
      </c>
    </row>
    <row r="32" spans="1:14" ht="16.5" thickBot="1" x14ac:dyDescent="0.3">
      <c r="A32" s="49">
        <v>17240</v>
      </c>
      <c r="B32" s="49">
        <f t="shared" si="0"/>
        <v>13485</v>
      </c>
      <c r="C32" s="49">
        <v>0.23813999999999999</v>
      </c>
      <c r="D32" s="49"/>
      <c r="E32" s="49">
        <v>0.1014</v>
      </c>
      <c r="F32" s="49"/>
      <c r="G32" s="51"/>
      <c r="H32" s="49"/>
      <c r="I32" s="49"/>
      <c r="J32" s="49"/>
      <c r="K32">
        <f t="shared" si="3"/>
        <v>5.5046439628482945E-5</v>
      </c>
      <c r="M32" s="67">
        <f t="shared" si="5"/>
        <v>0.22925000000000001</v>
      </c>
    </row>
    <row r="33" spans="1:13" ht="16.5" thickBot="1" x14ac:dyDescent="0.3">
      <c r="A33" s="49">
        <v>17527</v>
      </c>
      <c r="B33" s="49">
        <f t="shared" si="0"/>
        <v>13772</v>
      </c>
      <c r="C33" s="49">
        <v>0.34905999999999998</v>
      </c>
      <c r="D33" s="49"/>
      <c r="E33" s="49">
        <v>0.34905999999999998</v>
      </c>
      <c r="F33" s="49"/>
      <c r="G33" s="51"/>
      <c r="H33" s="49"/>
      <c r="I33" s="49"/>
      <c r="J33" s="49"/>
      <c r="K33">
        <f t="shared" si="3"/>
        <v>3.8648083623693378E-4</v>
      </c>
      <c r="M33" s="67">
        <f t="shared" si="5"/>
        <v>0.29359999999999997</v>
      </c>
    </row>
    <row r="34" spans="1:13" ht="15" customHeight="1" x14ac:dyDescent="0.25">
      <c r="A34" s="109" t="s">
        <v>42</v>
      </c>
      <c r="B34" s="110"/>
      <c r="C34" s="110"/>
      <c r="D34" s="110"/>
      <c r="E34" s="110"/>
      <c r="F34" s="110"/>
      <c r="G34" s="110"/>
      <c r="H34" s="110"/>
      <c r="I34" s="110"/>
      <c r="J34" s="111"/>
    </row>
    <row r="35" spans="1:13" ht="15" customHeight="1" thickBot="1" x14ac:dyDescent="0.3">
      <c r="A35" s="112"/>
      <c r="B35" s="113"/>
      <c r="C35" s="113"/>
      <c r="D35" s="113"/>
      <c r="E35" s="113"/>
      <c r="F35" s="113"/>
      <c r="G35" s="113"/>
      <c r="H35" s="113"/>
      <c r="I35" s="113"/>
      <c r="J35" s="114"/>
    </row>
  </sheetData>
  <mergeCells count="15">
    <mergeCell ref="K11:K14"/>
    <mergeCell ref="L11:L14"/>
    <mergeCell ref="M11:M14"/>
    <mergeCell ref="N11:N14"/>
    <mergeCell ref="A34:J35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0:N33"/>
  <sheetViews>
    <sheetView zoomScale="85" zoomScaleNormal="85" workbookViewId="0">
      <selection activeCell="L19" sqref="L19"/>
    </sheetView>
  </sheetViews>
  <sheetFormatPr defaultRowHeight="15" x14ac:dyDescent="0.25"/>
  <cols>
    <col min="2" max="2" width="10.5703125" customWidth="1"/>
    <col min="8" max="8" width="21.140625" customWidth="1"/>
    <col min="12" max="12" width="12.42578125" bestFit="1" customWidth="1"/>
  </cols>
  <sheetData>
    <row r="10" spans="1:14" ht="53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81" t="s">
        <v>25</v>
      </c>
      <c r="J11" s="81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82"/>
      <c r="J12" s="82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83"/>
      <c r="J13" s="83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84"/>
      <c r="J14" s="84"/>
      <c r="K14" s="90"/>
      <c r="L14" s="90"/>
      <c r="M14" s="90"/>
      <c r="N14" s="90"/>
    </row>
    <row r="15" spans="1:14" ht="16.5" thickBot="1" x14ac:dyDescent="0.3">
      <c r="A15" s="47">
        <v>0</v>
      </c>
      <c r="B15" s="47"/>
      <c r="C15" s="47"/>
      <c r="D15" s="47"/>
      <c r="E15" s="47"/>
      <c r="F15" s="47"/>
      <c r="G15" s="47"/>
      <c r="H15" s="47" t="s">
        <v>39</v>
      </c>
      <c r="I15" s="47"/>
      <c r="J15" s="47"/>
    </row>
    <row r="16" spans="1:14" ht="16.5" thickBot="1" x14ac:dyDescent="0.3">
      <c r="A16" s="47">
        <v>13978</v>
      </c>
      <c r="B16" s="47"/>
      <c r="C16" s="47">
        <v>5.8040000000000001E-2</v>
      </c>
      <c r="D16" s="47"/>
      <c r="E16" s="47"/>
      <c r="F16" s="47"/>
      <c r="G16" s="47">
        <v>6.5269999999999995E-2</v>
      </c>
      <c r="H16" s="47"/>
      <c r="I16" s="54">
        <f>G16/C16</f>
        <v>1.1245692625775325</v>
      </c>
      <c r="J16" s="54">
        <f>G16/0.255</f>
        <v>0.25596078431372549</v>
      </c>
    </row>
    <row r="17" spans="1:14" ht="16.5" thickBot="1" x14ac:dyDescent="0.3">
      <c r="A17" s="64">
        <v>0</v>
      </c>
      <c r="B17" s="64">
        <f>A17</f>
        <v>0</v>
      </c>
      <c r="C17" s="64">
        <v>5.058E-2</v>
      </c>
      <c r="D17" s="64"/>
      <c r="E17" s="64"/>
      <c r="F17" s="64"/>
      <c r="G17" s="64">
        <v>6.0130000000000003E-2</v>
      </c>
      <c r="H17" s="64" t="s">
        <v>40</v>
      </c>
      <c r="I17" s="65">
        <f t="shared" ref="I17:I31" si="0">G17/C17</f>
        <v>1.1888098062475287</v>
      </c>
      <c r="J17" s="65">
        <f t="shared" ref="J17:J31" si="1">G17/0.255</f>
        <v>0.23580392156862745</v>
      </c>
    </row>
    <row r="18" spans="1:14" ht="16.5" thickBot="1" x14ac:dyDescent="0.3">
      <c r="A18" s="47">
        <v>537</v>
      </c>
      <c r="B18" s="47">
        <f t="shared" ref="B18:B33" si="2">A18</f>
        <v>537</v>
      </c>
      <c r="C18" s="47">
        <v>5.348E-2</v>
      </c>
      <c r="D18" s="47"/>
      <c r="E18" s="47"/>
      <c r="F18" s="47"/>
      <c r="G18" s="47">
        <v>6.6989999999999994E-2</v>
      </c>
      <c r="H18" s="47"/>
      <c r="I18" s="54">
        <f t="shared" si="0"/>
        <v>1.2526178010471203</v>
      </c>
      <c r="J18" s="54">
        <f t="shared" si="1"/>
        <v>0.26270588235294112</v>
      </c>
      <c r="K18">
        <f>(C18-C17)/(B18-B17)</f>
        <v>5.4003724394785843E-6</v>
      </c>
      <c r="L18">
        <f>(G18-G17)/(B18-B17)</f>
        <v>1.2774674115456222E-5</v>
      </c>
      <c r="M18" s="67">
        <f>AVERAGE(C17:C18)</f>
        <v>5.203E-2</v>
      </c>
      <c r="N18" s="67">
        <f>AVERAGE(G17:G18)</f>
        <v>6.3560000000000005E-2</v>
      </c>
    </row>
    <row r="19" spans="1:14" ht="16.5" thickBot="1" x14ac:dyDescent="0.3">
      <c r="A19" s="47">
        <v>2709</v>
      </c>
      <c r="B19" s="47">
        <f t="shared" si="2"/>
        <v>2709</v>
      </c>
      <c r="C19" s="47">
        <v>6.8159999999999998E-2</v>
      </c>
      <c r="D19" s="47"/>
      <c r="E19" s="47"/>
      <c r="F19" s="47"/>
      <c r="G19" s="47">
        <v>8.4330000000000002E-2</v>
      </c>
      <c r="H19" s="47"/>
      <c r="I19" s="54">
        <f t="shared" si="0"/>
        <v>1.2372359154929577</v>
      </c>
      <c r="J19" s="54">
        <f t="shared" si="1"/>
        <v>0.33070588235294118</v>
      </c>
      <c r="K19">
        <f t="shared" ref="K19:K32" si="3">(C19-C18)/(B19-B18)</f>
        <v>6.7587476979742165E-6</v>
      </c>
      <c r="L19">
        <f t="shared" ref="L19:L31" si="4">(G19-G18)/(B19-B18)</f>
        <v>7.983425414364644E-6</v>
      </c>
      <c r="M19" s="67">
        <f t="shared" ref="M19:M32" si="5">AVERAGE(C18:C19)</f>
        <v>6.0819999999999999E-2</v>
      </c>
      <c r="N19" s="67">
        <f t="shared" ref="N19:N31" si="6">AVERAGE(G18:G19)</f>
        <v>7.5660000000000005E-2</v>
      </c>
    </row>
    <row r="20" spans="1:14" ht="16.5" thickBot="1" x14ac:dyDescent="0.3">
      <c r="A20" s="47">
        <v>5785</v>
      </c>
      <c r="B20" s="47">
        <f t="shared" si="2"/>
        <v>5785</v>
      </c>
      <c r="C20" s="47">
        <v>7.6039999999999996E-2</v>
      </c>
      <c r="D20" s="47"/>
      <c r="E20" s="47"/>
      <c r="F20" s="47"/>
      <c r="G20" s="47">
        <v>9.3420000000000003E-2</v>
      </c>
      <c r="H20" s="47"/>
      <c r="I20" s="54">
        <f t="shared" si="0"/>
        <v>1.228563913729616</v>
      </c>
      <c r="J20" s="54">
        <f t="shared" si="1"/>
        <v>0.3663529411764706</v>
      </c>
      <c r="K20">
        <f t="shared" si="3"/>
        <v>2.5617685305591673E-6</v>
      </c>
      <c r="L20">
        <f t="shared" si="4"/>
        <v>2.955136540962289E-6</v>
      </c>
      <c r="M20" s="67">
        <f t="shared" si="5"/>
        <v>7.2099999999999997E-2</v>
      </c>
      <c r="N20" s="67">
        <f t="shared" si="6"/>
        <v>8.887500000000001E-2</v>
      </c>
    </row>
    <row r="21" spans="1:14" ht="16.5" thickBot="1" x14ac:dyDescent="0.3">
      <c r="A21" s="47">
        <v>7241</v>
      </c>
      <c r="B21" s="47">
        <f t="shared" si="2"/>
        <v>7241</v>
      </c>
      <c r="C21" s="47">
        <v>8.3940000000000001E-2</v>
      </c>
      <c r="D21" s="47"/>
      <c r="E21" s="47"/>
      <c r="F21" s="47"/>
      <c r="G21" s="47">
        <v>0.11509999999999999</v>
      </c>
      <c r="H21" s="47"/>
      <c r="I21" s="54">
        <f t="shared" si="0"/>
        <v>1.3712175363354777</v>
      </c>
      <c r="J21" s="54">
        <f t="shared" si="1"/>
        <v>0.45137254901960783</v>
      </c>
      <c r="K21">
        <f t="shared" si="3"/>
        <v>5.4258241758241791E-6</v>
      </c>
      <c r="L21">
        <f t="shared" si="4"/>
        <v>1.4890109890109883E-5</v>
      </c>
      <c r="M21" s="67">
        <f t="shared" si="5"/>
        <v>7.9990000000000006E-2</v>
      </c>
      <c r="N21" s="67">
        <f t="shared" si="6"/>
        <v>0.10425999999999999</v>
      </c>
    </row>
    <row r="22" spans="1:14" ht="16.5" thickBot="1" x14ac:dyDescent="0.3">
      <c r="A22" s="47">
        <v>9254</v>
      </c>
      <c r="B22" s="47">
        <f t="shared" si="2"/>
        <v>9254</v>
      </c>
      <c r="C22" s="47">
        <v>9.3119999999999994E-2</v>
      </c>
      <c r="D22" s="47"/>
      <c r="E22" s="47"/>
      <c r="F22" s="47"/>
      <c r="G22" s="47">
        <v>0.12644</v>
      </c>
      <c r="H22" s="47"/>
      <c r="I22" s="54">
        <f t="shared" si="0"/>
        <v>1.3578178694158076</v>
      </c>
      <c r="J22" s="54">
        <f t="shared" si="1"/>
        <v>0.49584313725490192</v>
      </c>
      <c r="K22">
        <f t="shared" si="3"/>
        <v>4.5603576751117705E-6</v>
      </c>
      <c r="L22">
        <f t="shared" si="4"/>
        <v>5.6333830104321919E-6</v>
      </c>
      <c r="M22" s="67">
        <f t="shared" si="5"/>
        <v>8.8529999999999998E-2</v>
      </c>
      <c r="N22" s="67">
        <f t="shared" si="6"/>
        <v>0.12076999999999999</v>
      </c>
    </row>
    <row r="23" spans="1:14" ht="16.5" thickBot="1" x14ac:dyDescent="0.3">
      <c r="A23" s="47">
        <v>11501</v>
      </c>
      <c r="B23" s="47">
        <f t="shared" si="2"/>
        <v>11501</v>
      </c>
      <c r="C23" s="47">
        <v>0.10743999999999999</v>
      </c>
      <c r="D23" s="47"/>
      <c r="E23" s="47"/>
      <c r="F23" s="47"/>
      <c r="G23" s="47">
        <v>0.13972999999999999</v>
      </c>
      <c r="H23" s="47"/>
      <c r="I23" s="54">
        <f t="shared" si="0"/>
        <v>1.3005398361876397</v>
      </c>
      <c r="J23" s="54">
        <f t="shared" si="1"/>
        <v>0.54796078431372541</v>
      </c>
      <c r="K23">
        <f t="shared" si="3"/>
        <v>6.3729417000445036E-6</v>
      </c>
      <c r="L23">
        <f t="shared" si="4"/>
        <v>5.9145527369826418E-6</v>
      </c>
      <c r="M23" s="67">
        <f t="shared" si="5"/>
        <v>0.10027999999999999</v>
      </c>
      <c r="N23" s="67">
        <f t="shared" si="6"/>
        <v>0.13308500000000001</v>
      </c>
    </row>
    <row r="24" spans="1:14" ht="16.5" thickBot="1" x14ac:dyDescent="0.3">
      <c r="A24" s="47">
        <v>13342</v>
      </c>
      <c r="B24" s="47">
        <f t="shared" si="2"/>
        <v>13342</v>
      </c>
      <c r="C24" s="47">
        <v>0.1273</v>
      </c>
      <c r="D24" s="47"/>
      <c r="E24" s="47"/>
      <c r="F24" s="47"/>
      <c r="G24" s="47">
        <v>0.15795000000000001</v>
      </c>
      <c r="H24" s="47"/>
      <c r="I24" s="54">
        <f t="shared" si="0"/>
        <v>1.2407698350353498</v>
      </c>
      <c r="J24" s="54">
        <f t="shared" si="1"/>
        <v>0.61941176470588233</v>
      </c>
      <c r="K24">
        <f t="shared" si="3"/>
        <v>1.0787615426398697E-5</v>
      </c>
      <c r="L24">
        <f t="shared" si="4"/>
        <v>9.8967952199891434E-6</v>
      </c>
      <c r="M24" s="67">
        <f t="shared" si="5"/>
        <v>0.11737</v>
      </c>
      <c r="N24" s="67">
        <f t="shared" si="6"/>
        <v>0.14884</v>
      </c>
    </row>
    <row r="25" spans="1:14" ht="16.5" thickBot="1" x14ac:dyDescent="0.3">
      <c r="A25" s="47">
        <v>15068</v>
      </c>
      <c r="B25" s="47">
        <f t="shared" si="2"/>
        <v>15068</v>
      </c>
      <c r="C25" s="47">
        <v>0.14648</v>
      </c>
      <c r="D25" s="47"/>
      <c r="E25" s="47"/>
      <c r="F25" s="47"/>
      <c r="G25" s="47">
        <v>0.17297000000000001</v>
      </c>
      <c r="H25" s="47"/>
      <c r="I25" s="54">
        <f t="shared" si="0"/>
        <v>1.1808438012015292</v>
      </c>
      <c r="J25" s="54">
        <f t="shared" si="1"/>
        <v>0.67831372549019608</v>
      </c>
      <c r="K25">
        <f t="shared" si="3"/>
        <v>1.1112398609501739E-5</v>
      </c>
      <c r="L25">
        <f t="shared" si="4"/>
        <v>8.7022016222479761E-6</v>
      </c>
      <c r="M25" s="67">
        <f t="shared" si="5"/>
        <v>0.13689000000000001</v>
      </c>
      <c r="N25" s="67">
        <f t="shared" si="6"/>
        <v>0.16546</v>
      </c>
    </row>
    <row r="26" spans="1:14" ht="16.5" thickBot="1" x14ac:dyDescent="0.3">
      <c r="A26" s="47">
        <v>16922</v>
      </c>
      <c r="B26" s="47">
        <f t="shared" si="2"/>
        <v>16922</v>
      </c>
      <c r="C26" s="47">
        <v>0.16752</v>
      </c>
      <c r="D26" s="47"/>
      <c r="E26" s="47"/>
      <c r="F26" s="47"/>
      <c r="G26" s="47">
        <v>0.20219000000000001</v>
      </c>
      <c r="H26" s="47"/>
      <c r="I26" s="54">
        <f t="shared" si="0"/>
        <v>1.2069603629417383</v>
      </c>
      <c r="J26" s="54">
        <f t="shared" si="1"/>
        <v>0.79290196078431374</v>
      </c>
      <c r="K26">
        <f t="shared" si="3"/>
        <v>1.1348435814455234E-5</v>
      </c>
      <c r="L26">
        <f t="shared" si="4"/>
        <v>1.576051779935275E-5</v>
      </c>
      <c r="M26" s="67">
        <f t="shared" si="5"/>
        <v>0.157</v>
      </c>
      <c r="N26" s="67">
        <f t="shared" si="6"/>
        <v>0.18758000000000002</v>
      </c>
    </row>
    <row r="27" spans="1:14" ht="16.5" thickBot="1" x14ac:dyDescent="0.3">
      <c r="A27" s="47">
        <v>17978</v>
      </c>
      <c r="B27" s="47">
        <f t="shared" si="2"/>
        <v>17978</v>
      </c>
      <c r="C27" s="47">
        <v>0.18606</v>
      </c>
      <c r="D27" s="47"/>
      <c r="E27" s="47"/>
      <c r="F27" s="47"/>
      <c r="G27" s="47">
        <v>0.2044</v>
      </c>
      <c r="H27" s="47"/>
      <c r="I27" s="54">
        <f t="shared" si="0"/>
        <v>1.0985703536493603</v>
      </c>
      <c r="J27" s="54">
        <f t="shared" si="1"/>
        <v>0.80156862745098034</v>
      </c>
      <c r="K27">
        <f t="shared" si="3"/>
        <v>1.7556818181818184E-5</v>
      </c>
      <c r="L27">
        <f t="shared" si="4"/>
        <v>2.0928030303030204E-6</v>
      </c>
      <c r="M27" s="67">
        <f t="shared" si="5"/>
        <v>0.17679</v>
      </c>
      <c r="N27" s="67">
        <f t="shared" si="6"/>
        <v>0.203295</v>
      </c>
    </row>
    <row r="28" spans="1:14" ht="16.5" thickBot="1" x14ac:dyDescent="0.3">
      <c r="A28" s="47">
        <v>18879</v>
      </c>
      <c r="B28" s="47">
        <f t="shared" si="2"/>
        <v>18879</v>
      </c>
      <c r="C28" s="47">
        <v>0.20111999999999999</v>
      </c>
      <c r="D28" s="47"/>
      <c r="E28" s="47"/>
      <c r="F28" s="47"/>
      <c r="G28" s="47">
        <v>0.21718000000000001</v>
      </c>
      <c r="H28" s="47"/>
      <c r="I28" s="54">
        <f t="shared" si="0"/>
        <v>1.0798528241845666</v>
      </c>
      <c r="J28" s="54">
        <f t="shared" si="1"/>
        <v>0.85168627450980394</v>
      </c>
      <c r="K28">
        <f t="shared" si="3"/>
        <v>1.6714761376248601E-5</v>
      </c>
      <c r="L28">
        <f t="shared" si="4"/>
        <v>1.4184239733629316E-5</v>
      </c>
      <c r="M28" s="67">
        <f t="shared" si="5"/>
        <v>0.19358999999999998</v>
      </c>
      <c r="N28" s="67">
        <f t="shared" si="6"/>
        <v>0.21079000000000001</v>
      </c>
    </row>
    <row r="29" spans="1:14" ht="16.5" thickBot="1" x14ac:dyDescent="0.3">
      <c r="A29" s="47">
        <v>19386</v>
      </c>
      <c r="B29" s="47">
        <f t="shared" si="2"/>
        <v>19386</v>
      </c>
      <c r="C29" s="47">
        <v>0.21823999999999999</v>
      </c>
      <c r="D29" s="47"/>
      <c r="E29" s="47"/>
      <c r="F29" s="47"/>
      <c r="G29" s="47">
        <v>0.22972999999999999</v>
      </c>
      <c r="H29" s="47"/>
      <c r="I29" s="54">
        <f t="shared" si="0"/>
        <v>1.0526484604105573</v>
      </c>
      <c r="J29" s="54">
        <f t="shared" si="1"/>
        <v>0.90090196078431362</v>
      </c>
      <c r="K29">
        <f t="shared" si="3"/>
        <v>3.376725838264299E-5</v>
      </c>
      <c r="L29">
        <f t="shared" si="4"/>
        <v>2.4753451676528554E-5</v>
      </c>
      <c r="M29" s="67">
        <f t="shared" si="5"/>
        <v>0.20967999999999998</v>
      </c>
      <c r="N29" s="67">
        <f t="shared" si="6"/>
        <v>0.22345500000000001</v>
      </c>
    </row>
    <row r="30" spans="1:14" ht="16.5" thickBot="1" x14ac:dyDescent="0.3">
      <c r="A30" s="47">
        <v>19845</v>
      </c>
      <c r="B30" s="47">
        <f t="shared" si="2"/>
        <v>19845</v>
      </c>
      <c r="C30" s="47">
        <v>0.24762000000000001</v>
      </c>
      <c r="D30" s="47"/>
      <c r="E30" s="47"/>
      <c r="F30" s="47"/>
      <c r="G30" s="47">
        <v>0.23866000000000001</v>
      </c>
      <c r="H30" s="47"/>
      <c r="I30" s="54">
        <f t="shared" si="0"/>
        <v>0.96381552378644697</v>
      </c>
      <c r="J30" s="54">
        <f t="shared" si="1"/>
        <v>0.93592156862745102</v>
      </c>
      <c r="K30">
        <f t="shared" si="3"/>
        <v>6.4008714596949933E-5</v>
      </c>
      <c r="L30">
        <f t="shared" si="4"/>
        <v>1.9455337690631855E-5</v>
      </c>
      <c r="M30" s="67">
        <f t="shared" si="5"/>
        <v>0.23293</v>
      </c>
      <c r="N30" s="67">
        <f t="shared" si="6"/>
        <v>0.23419499999999999</v>
      </c>
    </row>
    <row r="31" spans="1:14" ht="16.5" thickBot="1" x14ac:dyDescent="0.3">
      <c r="A31" s="47">
        <v>20156</v>
      </c>
      <c r="B31" s="47">
        <f t="shared" si="2"/>
        <v>20156</v>
      </c>
      <c r="C31" s="47">
        <v>0.29570000000000002</v>
      </c>
      <c r="D31" s="47"/>
      <c r="E31" s="47">
        <v>5.9679999999999997E-2</v>
      </c>
      <c r="F31" s="47"/>
      <c r="G31" s="47">
        <v>0.25</v>
      </c>
      <c r="H31" s="47" t="s">
        <v>41</v>
      </c>
      <c r="I31" s="47">
        <f t="shared" si="0"/>
        <v>0.84545147108555962</v>
      </c>
      <c r="J31" s="47">
        <f t="shared" si="1"/>
        <v>0.98039215686274506</v>
      </c>
      <c r="K31">
        <f t="shared" si="3"/>
        <v>1.5459807073954986E-4</v>
      </c>
      <c r="L31">
        <f t="shared" si="4"/>
        <v>3.6463022508038551E-5</v>
      </c>
      <c r="M31" s="67">
        <f t="shared" si="5"/>
        <v>0.27166000000000001</v>
      </c>
      <c r="N31" s="67">
        <f t="shared" si="6"/>
        <v>0.24432999999999999</v>
      </c>
    </row>
    <row r="32" spans="1:14" ht="16.5" thickBot="1" x14ac:dyDescent="0.3">
      <c r="A32" s="47">
        <v>20280</v>
      </c>
      <c r="B32" s="47">
        <f t="shared" si="2"/>
        <v>20280</v>
      </c>
      <c r="C32" s="47">
        <v>0.35082000000000002</v>
      </c>
      <c r="D32" s="47"/>
      <c r="E32" s="47">
        <v>0.13754</v>
      </c>
      <c r="F32" s="47"/>
      <c r="G32" s="47"/>
      <c r="H32" s="47"/>
      <c r="I32" s="47"/>
      <c r="J32" s="47"/>
      <c r="K32">
        <f t="shared" si="3"/>
        <v>4.4451612903225807E-4</v>
      </c>
      <c r="M32" s="67">
        <f t="shared" si="5"/>
        <v>0.32325999999999999</v>
      </c>
    </row>
    <row r="33" spans="1:10" ht="16.5" thickBot="1" x14ac:dyDescent="0.3">
      <c r="A33" s="47">
        <v>20418</v>
      </c>
      <c r="B33" s="47">
        <f t="shared" si="2"/>
        <v>20418</v>
      </c>
      <c r="C33" s="47">
        <v>0.35082000000000002</v>
      </c>
      <c r="D33" s="47"/>
      <c r="E33" s="47">
        <v>0.35082000000000002</v>
      </c>
      <c r="F33" s="47"/>
      <c r="G33" s="47"/>
      <c r="H33" s="47"/>
      <c r="I33" s="47"/>
      <c r="J33" s="47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0:N41"/>
  <sheetViews>
    <sheetView zoomScale="70" zoomScaleNormal="70" workbookViewId="0">
      <selection activeCell="U31" sqref="U31"/>
    </sheetView>
  </sheetViews>
  <sheetFormatPr defaultRowHeight="15" x14ac:dyDescent="0.25"/>
  <cols>
    <col min="2" max="2" width="10.5703125" customWidth="1"/>
    <col min="8" max="8" width="21.140625" customWidth="1"/>
    <col min="11" max="11" width="13" bestFit="1" customWidth="1"/>
    <col min="12" max="12" width="14.85546875" bestFit="1" customWidth="1"/>
  </cols>
  <sheetData>
    <row r="10" spans="1:14" ht="72" customHeight="1" thickBot="1" x14ac:dyDescent="0.3"/>
    <row r="11" spans="1:14" ht="16.149999999999999" customHeight="1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90" t="s">
        <v>25</v>
      </c>
      <c r="J11" s="90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90"/>
      <c r="J12" s="90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90"/>
      <c r="J13" s="90"/>
      <c r="K13" s="90"/>
      <c r="L13" s="90"/>
      <c r="M13" s="90"/>
      <c r="N13" s="90"/>
    </row>
    <row r="14" spans="1:14" ht="16.5" thickBot="1" x14ac:dyDescent="0.3">
      <c r="A14" s="77"/>
      <c r="B14" s="89"/>
      <c r="C14" s="10" t="s">
        <v>32</v>
      </c>
      <c r="D14" s="10" t="s">
        <v>33</v>
      </c>
      <c r="E14" s="10" t="s">
        <v>34</v>
      </c>
      <c r="F14" s="10" t="s">
        <v>33</v>
      </c>
      <c r="G14" s="77"/>
      <c r="H14" s="84"/>
      <c r="I14" s="90"/>
      <c r="J14" s="90"/>
      <c r="K14" s="90"/>
      <c r="L14" s="90"/>
      <c r="M14" s="90"/>
      <c r="N14" s="90"/>
    </row>
    <row r="15" spans="1:14" ht="15.75" x14ac:dyDescent="0.25">
      <c r="A15" s="11">
        <v>0</v>
      </c>
      <c r="B15" s="17"/>
      <c r="C15" s="12"/>
      <c r="D15" s="12"/>
      <c r="E15" s="12"/>
      <c r="F15" s="12"/>
      <c r="G15" s="12"/>
      <c r="H15" s="19" t="s">
        <v>35</v>
      </c>
      <c r="I15" s="2"/>
      <c r="J15" s="2"/>
    </row>
    <row r="16" spans="1:14" ht="15.75" x14ac:dyDescent="0.25">
      <c r="A16" s="13">
        <v>810030</v>
      </c>
      <c r="B16" s="18"/>
      <c r="C16" s="14">
        <v>2.47E-2</v>
      </c>
      <c r="D16" s="14"/>
      <c r="E16" s="14"/>
      <c r="F16" s="14"/>
      <c r="G16" s="14"/>
      <c r="H16" s="20"/>
      <c r="I16" s="2"/>
      <c r="J16" s="2"/>
    </row>
    <row r="17" spans="1:14" ht="15.75" x14ac:dyDescent="0.25">
      <c r="A17" s="13">
        <v>0</v>
      </c>
      <c r="B17" s="18">
        <f>A17-43549</f>
        <v>-43549</v>
      </c>
      <c r="C17" s="14">
        <v>2.3228299999999855E-2</v>
      </c>
      <c r="D17" s="14"/>
      <c r="E17" s="14"/>
      <c r="F17" s="14"/>
      <c r="G17" s="14">
        <v>5.0639201529623999E-2</v>
      </c>
      <c r="H17" s="20"/>
      <c r="I17" s="6">
        <f>G17/C17</f>
        <v>2.1800649005576953</v>
      </c>
      <c r="J17" s="6">
        <f>G17/0.254</f>
        <v>0.19936693515599999</v>
      </c>
    </row>
    <row r="18" spans="1:14" ht="15.75" x14ac:dyDescent="0.25">
      <c r="A18" s="13">
        <v>27170</v>
      </c>
      <c r="B18" s="18">
        <f t="shared" ref="B18:B41" si="0">A18-43549</f>
        <v>-16379</v>
      </c>
      <c r="C18" s="14">
        <v>4.0944799999999969E-2</v>
      </c>
      <c r="D18" s="14"/>
      <c r="E18" s="14"/>
      <c r="F18" s="14"/>
      <c r="G18" s="14">
        <v>6.3499951124449533E-2</v>
      </c>
      <c r="H18" s="20"/>
      <c r="I18" s="6">
        <f t="shared" ref="I18:I28" si="1">G18/C18</f>
        <v>1.5508672926586424</v>
      </c>
      <c r="J18" s="6">
        <f t="shared" ref="J18:J28" si="2">G18/0.254</f>
        <v>0.24999980757657297</v>
      </c>
    </row>
    <row r="19" spans="1:14" ht="15.75" x14ac:dyDescent="0.25">
      <c r="A19" s="22">
        <f>A20-((A20-A18)*(C20-C19)/(C20-C18))</f>
        <v>43548.56018498254</v>
      </c>
      <c r="B19" s="23">
        <v>0</v>
      </c>
      <c r="C19" s="24">
        <v>0.05</v>
      </c>
      <c r="D19" s="24"/>
      <c r="E19" s="24"/>
      <c r="F19" s="24"/>
      <c r="G19" s="24">
        <f>C19*1.5</f>
        <v>7.5000000000000011E-2</v>
      </c>
      <c r="H19" s="25"/>
      <c r="I19" s="9">
        <f t="shared" si="1"/>
        <v>1.5000000000000002</v>
      </c>
      <c r="J19" s="9">
        <f t="shared" si="2"/>
        <v>0.29527559055118113</v>
      </c>
    </row>
    <row r="20" spans="1:14" ht="15.75" x14ac:dyDescent="0.25">
      <c r="A20" s="13">
        <v>47821</v>
      </c>
      <c r="B20" s="18">
        <f t="shared" si="0"/>
        <v>4272</v>
      </c>
      <c r="C20" s="14">
        <v>5.2362099999999939E-2</v>
      </c>
      <c r="D20" s="14"/>
      <c r="E20" s="14"/>
      <c r="F20" s="14"/>
      <c r="G20" s="14">
        <v>7.636070071927506E-2</v>
      </c>
      <c r="H20" s="20"/>
      <c r="I20" s="6">
        <f t="shared" si="1"/>
        <v>1.4583200581961981</v>
      </c>
      <c r="J20" s="6">
        <f t="shared" si="2"/>
        <v>0.30063267999714588</v>
      </c>
      <c r="K20">
        <f>(C20-C19)/(A20-A19)</f>
        <v>5.5286911045469766E-7</v>
      </c>
      <c r="L20">
        <f>(G20-G19)/(B20-B19)</f>
        <v>3.1851608597262375E-7</v>
      </c>
      <c r="M20" s="57">
        <f>AVERAGE(C19:C20)</f>
        <v>5.1181049999999971E-2</v>
      </c>
      <c r="N20" s="57">
        <f>AVERAGE(G19:G20)</f>
        <v>7.5680350359637535E-2</v>
      </c>
    </row>
    <row r="21" spans="1:14" ht="15.75" x14ac:dyDescent="0.25">
      <c r="A21" s="13">
        <v>65567</v>
      </c>
      <c r="B21" s="18">
        <f t="shared" si="0"/>
        <v>22018</v>
      </c>
      <c r="C21" s="14">
        <v>6.5747900000000067E-2</v>
      </c>
      <c r="D21" s="14"/>
      <c r="E21" s="14"/>
      <c r="F21" s="14"/>
      <c r="G21" s="14">
        <v>8.7613856614747201E-2</v>
      </c>
      <c r="H21" s="20"/>
      <c r="I21" s="6">
        <f t="shared" si="1"/>
        <v>1.3325726998846672</v>
      </c>
      <c r="J21" s="6">
        <f t="shared" si="2"/>
        <v>0.34493644336514645</v>
      </c>
      <c r="K21">
        <f t="shared" ref="K21:K40" si="3">(C21-C20)/(A21-A20)</f>
        <v>7.5429956046433723E-7</v>
      </c>
      <c r="L21">
        <f t="shared" ref="L21:L28" si="4">(G21-G20)/(B21-B20)</f>
        <v>6.3412351490319743E-7</v>
      </c>
      <c r="M21" s="57">
        <f t="shared" ref="M21:M40" si="5">AVERAGE(C20:C21)</f>
        <v>5.9055000000000003E-2</v>
      </c>
      <c r="N21" s="57">
        <f t="shared" ref="N21:N28" si="6">AVERAGE(G20:G21)</f>
        <v>8.1987278667011138E-2</v>
      </c>
    </row>
    <row r="22" spans="1:14" ht="15.75" x14ac:dyDescent="0.25">
      <c r="A22" s="13">
        <v>87001</v>
      </c>
      <c r="B22" s="18">
        <f t="shared" si="0"/>
        <v>43452</v>
      </c>
      <c r="C22" s="14">
        <v>7.992110000000005E-2</v>
      </c>
      <c r="D22" s="14"/>
      <c r="E22" s="14"/>
      <c r="F22" s="14"/>
      <c r="G22" s="14">
        <v>0.10449359045795538</v>
      </c>
      <c r="H22" s="20"/>
      <c r="I22" s="6">
        <f t="shared" si="1"/>
        <v>1.3074593625207276</v>
      </c>
      <c r="J22" s="6">
        <f t="shared" si="2"/>
        <v>0.41139208841714714</v>
      </c>
      <c r="K22">
        <f t="shared" si="3"/>
        <v>6.6124848371745747E-7</v>
      </c>
      <c r="L22">
        <f t="shared" si="4"/>
        <v>7.8752140725987577E-7</v>
      </c>
      <c r="M22" s="57">
        <f t="shared" si="5"/>
        <v>7.2834500000000052E-2</v>
      </c>
      <c r="N22" s="57">
        <f t="shared" si="6"/>
        <v>9.605372353635129E-2</v>
      </c>
    </row>
    <row r="23" spans="1:14" ht="15.75" x14ac:dyDescent="0.25">
      <c r="A23" s="13">
        <v>107638</v>
      </c>
      <c r="B23" s="18">
        <f t="shared" si="0"/>
        <v>64089</v>
      </c>
      <c r="C23" s="14">
        <v>0.10078720000000009</v>
      </c>
      <c r="D23" s="14"/>
      <c r="E23" s="14"/>
      <c r="F23" s="14"/>
      <c r="G23" s="14">
        <v>0.12378471485019281</v>
      </c>
      <c r="H23" s="20"/>
      <c r="I23" s="6">
        <f t="shared" si="1"/>
        <v>1.2281789240121037</v>
      </c>
      <c r="J23" s="6">
        <f t="shared" si="2"/>
        <v>0.48734139704800317</v>
      </c>
      <c r="K23">
        <f t="shared" si="3"/>
        <v>1.0111014197800088E-6</v>
      </c>
      <c r="L23">
        <f t="shared" si="4"/>
        <v>9.3478336929967682E-7</v>
      </c>
      <c r="M23" s="57">
        <f t="shared" si="5"/>
        <v>9.0354150000000077E-2</v>
      </c>
      <c r="N23" s="57">
        <f t="shared" si="6"/>
        <v>0.11413915265407409</v>
      </c>
    </row>
    <row r="24" spans="1:14" ht="15.75" x14ac:dyDescent="0.25">
      <c r="A24" s="13">
        <v>130447</v>
      </c>
      <c r="B24" s="18">
        <f t="shared" si="0"/>
        <v>86898</v>
      </c>
      <c r="C24" s="14">
        <v>0.13228319999999999</v>
      </c>
      <c r="D24" s="14"/>
      <c r="E24" s="14"/>
      <c r="F24" s="14"/>
      <c r="G24" s="14">
        <v>0.15352519828822656</v>
      </c>
      <c r="H24" s="20"/>
      <c r="I24" s="6">
        <f t="shared" si="1"/>
        <v>1.1605797129811386</v>
      </c>
      <c r="J24" s="6">
        <f t="shared" si="2"/>
        <v>0.60442991452057693</v>
      </c>
      <c r="K24">
        <f t="shared" si="3"/>
        <v>1.380858433074659E-6</v>
      </c>
      <c r="L24">
        <f t="shared" si="4"/>
        <v>1.3038924739372066E-6</v>
      </c>
      <c r="M24" s="57">
        <f t="shared" si="5"/>
        <v>0.11653520000000003</v>
      </c>
      <c r="N24" s="57">
        <f t="shared" si="6"/>
        <v>0.13865495656920968</v>
      </c>
    </row>
    <row r="25" spans="1:14" ht="15.75" x14ac:dyDescent="0.25">
      <c r="A25" s="13">
        <v>143316</v>
      </c>
      <c r="B25" s="18">
        <f t="shared" si="0"/>
        <v>99767</v>
      </c>
      <c r="C25" s="14">
        <v>0.16259810000000011</v>
      </c>
      <c r="D25" s="14"/>
      <c r="E25" s="14"/>
      <c r="F25" s="14"/>
      <c r="G25" s="14">
        <v>0.16960113528175774</v>
      </c>
      <c r="H25" s="20"/>
      <c r="I25" s="6">
        <f t="shared" si="1"/>
        <v>1.0430696009471059</v>
      </c>
      <c r="J25" s="6">
        <f t="shared" si="2"/>
        <v>0.66772100504629028</v>
      </c>
      <c r="K25">
        <f t="shared" si="3"/>
        <v>2.3556531199005451E-6</v>
      </c>
      <c r="L25">
        <f t="shared" si="4"/>
        <v>1.2491986163284782E-6</v>
      </c>
      <c r="M25" s="57">
        <f t="shared" si="5"/>
        <v>0.14744065000000006</v>
      </c>
      <c r="N25" s="57">
        <f t="shared" si="6"/>
        <v>0.16156316678499216</v>
      </c>
    </row>
    <row r="26" spans="1:14" ht="15.75" x14ac:dyDescent="0.25">
      <c r="A26" s="13">
        <v>152384</v>
      </c>
      <c r="B26" s="18">
        <f t="shared" si="0"/>
        <v>108835</v>
      </c>
      <c r="C26" s="14">
        <v>0.19212560000000012</v>
      </c>
      <c r="D26" s="14"/>
      <c r="E26" s="14"/>
      <c r="F26" s="14"/>
      <c r="G26" s="14">
        <v>0.192107447072702</v>
      </c>
      <c r="H26" s="20"/>
      <c r="I26" s="6">
        <f t="shared" si="1"/>
        <v>0.9999055153123888</v>
      </c>
      <c r="J26" s="6">
        <f t="shared" si="2"/>
        <v>0.75632853178229131</v>
      </c>
      <c r="K26">
        <f t="shared" si="3"/>
        <v>3.2562307013674473E-6</v>
      </c>
      <c r="L26">
        <f t="shared" si="4"/>
        <v>2.4819488080000283E-6</v>
      </c>
      <c r="M26" s="57">
        <f t="shared" si="5"/>
        <v>0.1773618500000001</v>
      </c>
      <c r="N26" s="57">
        <f t="shared" si="6"/>
        <v>0.18085429117722987</v>
      </c>
    </row>
    <row r="27" spans="1:14" ht="15.75" x14ac:dyDescent="0.25">
      <c r="A27" s="13">
        <v>163372</v>
      </c>
      <c r="B27" s="18">
        <f t="shared" si="0"/>
        <v>119823</v>
      </c>
      <c r="C27" s="14">
        <v>0.22244049999999996</v>
      </c>
      <c r="D27" s="14"/>
      <c r="E27" s="14"/>
      <c r="F27" s="14"/>
      <c r="G27" s="14">
        <v>0.23149349270685443</v>
      </c>
      <c r="H27" s="20"/>
      <c r="I27" s="6">
        <f t="shared" si="1"/>
        <v>1.040698491087974</v>
      </c>
      <c r="J27" s="6">
        <f t="shared" si="2"/>
        <v>0.91139170357029298</v>
      </c>
      <c r="K27">
        <f t="shared" si="3"/>
        <v>2.758909719694197E-6</v>
      </c>
      <c r="L27">
        <f t="shared" si="4"/>
        <v>3.5844599230207893E-6</v>
      </c>
      <c r="M27" s="57">
        <f t="shared" si="5"/>
        <v>0.20728305000000002</v>
      </c>
      <c r="N27" s="57">
        <f t="shared" si="6"/>
        <v>0.21180046988977821</v>
      </c>
    </row>
    <row r="28" spans="1:14" ht="15.75" x14ac:dyDescent="0.25">
      <c r="A28" s="13">
        <v>171931</v>
      </c>
      <c r="B28" s="18">
        <f t="shared" si="0"/>
        <v>128382</v>
      </c>
      <c r="C28" s="14">
        <v>0.2535427999999999</v>
      </c>
      <c r="D28" s="14"/>
      <c r="E28" s="14">
        <v>0.15196820000000014</v>
      </c>
      <c r="F28" s="14"/>
      <c r="G28" s="14">
        <v>0.25</v>
      </c>
      <c r="H28" s="20" t="s">
        <v>36</v>
      </c>
      <c r="I28" s="2">
        <f t="shared" si="1"/>
        <v>0.98602681677413084</v>
      </c>
      <c r="J28" s="2">
        <f t="shared" si="2"/>
        <v>0.98425196850393704</v>
      </c>
      <c r="K28">
        <f t="shared" si="3"/>
        <v>3.6338707792966403E-6</v>
      </c>
      <c r="L28">
        <f t="shared" si="4"/>
        <v>2.1622277477679131E-6</v>
      </c>
      <c r="M28" s="57">
        <f t="shared" si="5"/>
        <v>0.23799164999999994</v>
      </c>
      <c r="N28" s="57">
        <f t="shared" si="6"/>
        <v>0.24074674635342722</v>
      </c>
    </row>
    <row r="29" spans="1:14" ht="15.75" x14ac:dyDescent="0.25">
      <c r="A29" s="13">
        <v>178206</v>
      </c>
      <c r="B29" s="18">
        <f t="shared" si="0"/>
        <v>134657</v>
      </c>
      <c r="C29" s="14">
        <v>0.28779469999999985</v>
      </c>
      <c r="D29" s="14"/>
      <c r="E29" s="14">
        <v>0.2251964000000001</v>
      </c>
      <c r="F29" s="14"/>
      <c r="G29" s="14"/>
      <c r="H29" s="20"/>
      <c r="I29" s="2"/>
      <c r="J29" s="2"/>
      <c r="K29">
        <f t="shared" si="3"/>
        <v>5.4584701195219036E-6</v>
      </c>
      <c r="M29" s="57">
        <f t="shared" si="5"/>
        <v>0.2706687499999999</v>
      </c>
      <c r="N29" s="57"/>
    </row>
    <row r="30" spans="1:14" ht="15.75" x14ac:dyDescent="0.25">
      <c r="A30" s="13">
        <v>183627</v>
      </c>
      <c r="B30" s="18">
        <f t="shared" si="0"/>
        <v>140078</v>
      </c>
      <c r="C30" s="14">
        <v>0.32204660000000002</v>
      </c>
      <c r="D30" s="14"/>
      <c r="E30" s="14">
        <v>0.27913330000000014</v>
      </c>
      <c r="F30" s="14"/>
      <c r="G30" s="14"/>
      <c r="H30" s="20"/>
      <c r="I30" s="2"/>
      <c r="J30" s="2"/>
      <c r="K30">
        <f t="shared" si="3"/>
        <v>6.3183729939125934E-6</v>
      </c>
      <c r="M30" s="57">
        <f t="shared" si="5"/>
        <v>0.3049206499999999</v>
      </c>
      <c r="N30" s="57"/>
    </row>
    <row r="31" spans="1:14" ht="15.75" x14ac:dyDescent="0.25">
      <c r="A31" s="13">
        <v>191596</v>
      </c>
      <c r="B31" s="18">
        <f t="shared" si="0"/>
        <v>148047</v>
      </c>
      <c r="C31" s="14">
        <v>0.37637719999999986</v>
      </c>
      <c r="D31" s="14"/>
      <c r="E31" s="14">
        <v>0.35393629999999998</v>
      </c>
      <c r="F31" s="14"/>
      <c r="G31" s="14"/>
      <c r="H31" s="20"/>
      <c r="I31" s="2"/>
      <c r="J31" s="2"/>
      <c r="K31">
        <f t="shared" si="3"/>
        <v>6.8177437570585818E-6</v>
      </c>
      <c r="M31" s="57">
        <f t="shared" si="5"/>
        <v>0.34921189999999991</v>
      </c>
      <c r="N31" s="57"/>
    </row>
    <row r="32" spans="1:14" ht="15.75" x14ac:dyDescent="0.25">
      <c r="A32" s="13">
        <v>205036</v>
      </c>
      <c r="B32" s="18">
        <f t="shared" si="0"/>
        <v>161487</v>
      </c>
      <c r="C32" s="14">
        <v>0.4673218999999999</v>
      </c>
      <c r="D32" s="14"/>
      <c r="E32" s="14">
        <v>0.47716439999999993</v>
      </c>
      <c r="F32" s="14"/>
      <c r="G32" s="14"/>
      <c r="H32" s="20"/>
      <c r="I32" s="2"/>
      <c r="J32" s="2"/>
      <c r="K32">
        <f t="shared" si="3"/>
        <v>6.7667187500000029E-6</v>
      </c>
      <c r="M32" s="57">
        <f t="shared" si="5"/>
        <v>0.42184954999999991</v>
      </c>
      <c r="N32" s="57"/>
    </row>
    <row r="33" spans="1:14" ht="15.75" x14ac:dyDescent="0.25">
      <c r="A33" s="13">
        <v>215943</v>
      </c>
      <c r="B33" s="18">
        <f t="shared" si="0"/>
        <v>172394</v>
      </c>
      <c r="C33" s="14">
        <v>0.56929020000000008</v>
      </c>
      <c r="D33" s="14"/>
      <c r="E33" s="14">
        <v>0.58267599999999997</v>
      </c>
      <c r="F33" s="14"/>
      <c r="G33" s="14"/>
      <c r="H33" s="20"/>
      <c r="I33" s="2"/>
      <c r="J33" s="2"/>
      <c r="K33">
        <f t="shared" si="3"/>
        <v>9.3488860364903433E-6</v>
      </c>
      <c r="M33" s="57">
        <f t="shared" si="5"/>
        <v>0.51830604999999996</v>
      </c>
      <c r="N33" s="57"/>
    </row>
    <row r="34" spans="1:14" ht="15.75" x14ac:dyDescent="0.25">
      <c r="A34" s="13">
        <v>223964</v>
      </c>
      <c r="B34" s="18">
        <f t="shared" si="0"/>
        <v>180415</v>
      </c>
      <c r="C34" s="14">
        <v>0.66692780000000018</v>
      </c>
      <c r="D34" s="14"/>
      <c r="E34" s="14">
        <v>0.65117979999999998</v>
      </c>
      <c r="F34" s="14"/>
      <c r="G34" s="14"/>
      <c r="H34" s="20"/>
      <c r="I34" s="2"/>
      <c r="J34" s="2"/>
      <c r="K34">
        <f t="shared" si="3"/>
        <v>1.2172746540331642E-5</v>
      </c>
      <c r="M34" s="57">
        <f t="shared" si="5"/>
        <v>0.61810900000000013</v>
      </c>
      <c r="N34" s="57"/>
    </row>
    <row r="35" spans="1:14" ht="15.75" x14ac:dyDescent="0.25">
      <c r="A35" s="13">
        <v>234553</v>
      </c>
      <c r="B35" s="18">
        <f t="shared" si="0"/>
        <v>191004</v>
      </c>
      <c r="C35" s="14">
        <v>0.77047090000000007</v>
      </c>
      <c r="D35" s="14"/>
      <c r="E35" s="14">
        <v>0.76259689999999991</v>
      </c>
      <c r="F35" s="14"/>
      <c r="G35" s="14"/>
      <c r="H35" s="20"/>
      <c r="I35" s="2"/>
      <c r="J35" s="2"/>
      <c r="K35">
        <f t="shared" si="3"/>
        <v>9.7783643403531857E-6</v>
      </c>
      <c r="M35" s="57">
        <f t="shared" si="5"/>
        <v>0.71869935000000007</v>
      </c>
      <c r="N35" s="57"/>
    </row>
    <row r="36" spans="1:14" ht="15.75" x14ac:dyDescent="0.25">
      <c r="A36" s="13">
        <v>241395</v>
      </c>
      <c r="B36" s="18">
        <f t="shared" si="0"/>
        <v>197846</v>
      </c>
      <c r="C36" s="14">
        <v>0.87243920000000019</v>
      </c>
      <c r="D36" s="14"/>
      <c r="E36" s="14">
        <v>0.83306920000000018</v>
      </c>
      <c r="F36" s="14"/>
      <c r="G36" s="14"/>
      <c r="H36" s="20"/>
      <c r="I36" s="2"/>
      <c r="J36" s="2"/>
      <c r="K36">
        <f t="shared" si="3"/>
        <v>1.4903288512130974E-5</v>
      </c>
      <c r="M36" s="57">
        <f t="shared" si="5"/>
        <v>0.82145505000000019</v>
      </c>
      <c r="N36" s="57"/>
    </row>
    <row r="37" spans="1:14" ht="15.75" x14ac:dyDescent="0.25">
      <c r="A37" s="13">
        <v>248614</v>
      </c>
      <c r="B37" s="18">
        <f t="shared" si="0"/>
        <v>205065</v>
      </c>
      <c r="C37" s="14">
        <v>0.98306890000000025</v>
      </c>
      <c r="D37" s="14"/>
      <c r="E37" s="14">
        <v>0.97480120000000015</v>
      </c>
      <c r="F37" s="14"/>
      <c r="G37" s="14"/>
      <c r="H37" s="20"/>
      <c r="I37" s="2"/>
      <c r="J37" s="2"/>
      <c r="K37">
        <f t="shared" si="3"/>
        <v>1.5324795678071764E-5</v>
      </c>
      <c r="M37" s="57">
        <f t="shared" si="5"/>
        <v>0.92775405000000022</v>
      </c>
      <c r="N37" s="57"/>
    </row>
    <row r="38" spans="1:14" ht="15.75" x14ac:dyDescent="0.25">
      <c r="A38" s="13">
        <v>258227</v>
      </c>
      <c r="B38" s="18">
        <f t="shared" si="0"/>
        <v>214678</v>
      </c>
      <c r="C38" s="14">
        <v>1.0803128000000002</v>
      </c>
      <c r="D38" s="14"/>
      <c r="E38" s="14">
        <v>1.0897616000000001</v>
      </c>
      <c r="F38" s="14"/>
      <c r="G38" s="14"/>
      <c r="H38" s="20"/>
      <c r="I38" s="2"/>
      <c r="J38" s="2"/>
      <c r="K38">
        <f t="shared" si="3"/>
        <v>1.0115874336835529E-5</v>
      </c>
      <c r="M38" s="57">
        <f t="shared" si="5"/>
        <v>1.0316908500000002</v>
      </c>
      <c r="N38" s="57"/>
    </row>
    <row r="39" spans="1:14" ht="15.75" x14ac:dyDescent="0.25">
      <c r="A39" s="13">
        <v>264617</v>
      </c>
      <c r="B39" s="18">
        <f t="shared" si="0"/>
        <v>221068</v>
      </c>
      <c r="C39" s="14">
        <v>1.1586591000000002</v>
      </c>
      <c r="D39" s="14"/>
      <c r="E39" s="14">
        <v>1.1625961</v>
      </c>
      <c r="F39" s="14"/>
      <c r="G39" s="14"/>
      <c r="H39" s="20"/>
      <c r="I39" s="2"/>
      <c r="J39" s="2"/>
      <c r="K39">
        <f t="shared" si="3"/>
        <v>1.2260766823161187E-5</v>
      </c>
      <c r="M39" s="57">
        <f t="shared" si="5"/>
        <v>1.1194859500000001</v>
      </c>
      <c r="N39" s="57"/>
    </row>
    <row r="40" spans="1:14" ht="15.75" x14ac:dyDescent="0.25">
      <c r="A40" s="13">
        <v>269677</v>
      </c>
      <c r="B40" s="18">
        <f t="shared" si="0"/>
        <v>226128</v>
      </c>
      <c r="C40" s="14">
        <v>1.2326747000000005</v>
      </c>
      <c r="D40" s="14"/>
      <c r="E40" s="14">
        <v>1.2381865000000001</v>
      </c>
      <c r="F40" s="14"/>
      <c r="G40" s="14"/>
      <c r="H40" s="20"/>
      <c r="I40" s="2"/>
      <c r="J40" s="2"/>
      <c r="K40">
        <f t="shared" si="3"/>
        <v>1.4627588932806383E-5</v>
      </c>
      <c r="M40" s="57">
        <f t="shared" si="5"/>
        <v>1.1956669000000004</v>
      </c>
      <c r="N40" s="57"/>
    </row>
    <row r="41" spans="1:14" ht="16.5" thickBot="1" x14ac:dyDescent="0.3">
      <c r="A41" s="15">
        <v>279806</v>
      </c>
      <c r="B41" s="18">
        <f t="shared" si="0"/>
        <v>236257</v>
      </c>
      <c r="C41" s="72" t="s">
        <v>37</v>
      </c>
      <c r="D41" s="73"/>
      <c r="E41" s="73"/>
      <c r="F41" s="74"/>
      <c r="G41" s="16"/>
      <c r="H41" s="21"/>
      <c r="I41" s="2"/>
      <c r="J41" s="2"/>
    </row>
  </sheetData>
  <mergeCells count="15">
    <mergeCell ref="N11:N14"/>
    <mergeCell ref="I11:I14"/>
    <mergeCell ref="J11:J14"/>
    <mergeCell ref="K11:K14"/>
    <mergeCell ref="L11:L14"/>
    <mergeCell ref="M11:M14"/>
    <mergeCell ref="C41:F41"/>
    <mergeCell ref="A11:A14"/>
    <mergeCell ref="C11:G11"/>
    <mergeCell ref="H11:H14"/>
    <mergeCell ref="C12:F12"/>
    <mergeCell ref="G12:G14"/>
    <mergeCell ref="C13:D13"/>
    <mergeCell ref="E13:F13"/>
    <mergeCell ref="B11:B1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0:N33"/>
  <sheetViews>
    <sheetView zoomScale="85" zoomScaleNormal="85" workbookViewId="0">
      <selection activeCell="N20" sqref="N20"/>
    </sheetView>
  </sheetViews>
  <sheetFormatPr defaultRowHeight="15" x14ac:dyDescent="0.25"/>
  <cols>
    <col min="2" max="2" width="10.5703125" customWidth="1"/>
    <col min="8" max="8" width="21.140625" customWidth="1"/>
    <col min="11" max="11" width="12.42578125" bestFit="1" customWidth="1"/>
  </cols>
  <sheetData>
    <row r="10" spans="1:14" ht="53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81" t="s">
        <v>25</v>
      </c>
      <c r="J11" s="81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82"/>
      <c r="J12" s="82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83"/>
      <c r="J13" s="83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84"/>
      <c r="J14" s="84"/>
      <c r="K14" s="90"/>
      <c r="L14" s="90"/>
      <c r="M14" s="90"/>
      <c r="N14" s="90"/>
    </row>
    <row r="15" spans="1:14" ht="16.5" thickBot="1" x14ac:dyDescent="0.3">
      <c r="A15" s="47">
        <v>0</v>
      </c>
      <c r="B15" s="47"/>
      <c r="C15" s="47"/>
      <c r="D15" s="47"/>
      <c r="E15" s="47"/>
      <c r="F15" s="47"/>
      <c r="G15" s="47"/>
      <c r="H15" s="47" t="s">
        <v>39</v>
      </c>
      <c r="I15" s="47"/>
      <c r="J15" s="47"/>
    </row>
    <row r="16" spans="1:14" ht="16.5" thickBot="1" x14ac:dyDescent="0.3">
      <c r="A16" s="47">
        <v>13957</v>
      </c>
      <c r="B16" s="47"/>
      <c r="C16" s="47">
        <v>4.9459999999999997E-2</v>
      </c>
      <c r="D16" s="47"/>
      <c r="E16" s="47"/>
      <c r="F16" s="47"/>
      <c r="G16" s="47">
        <v>4.7419999999999997E-2</v>
      </c>
      <c r="H16" s="47"/>
      <c r="I16" s="47">
        <f>G16/C16</f>
        <v>0.95875454913061053</v>
      </c>
      <c r="J16" s="47">
        <f>G16/0.2555</f>
        <v>0.18559686888454011</v>
      </c>
    </row>
    <row r="17" spans="1:14" ht="16.5" thickBot="1" x14ac:dyDescent="0.3">
      <c r="A17" s="66">
        <v>0</v>
      </c>
      <c r="B17" s="66">
        <f>A17-2217</f>
        <v>-2217</v>
      </c>
      <c r="C17" s="66">
        <v>4.2259999999999999E-2</v>
      </c>
      <c r="D17" s="66"/>
      <c r="E17" s="66"/>
      <c r="F17" s="66"/>
      <c r="G17" s="66">
        <v>4.1390000000000003E-2</v>
      </c>
      <c r="H17" s="66" t="s">
        <v>40</v>
      </c>
      <c r="I17" s="66">
        <f t="shared" ref="I17:I23" si="0">G17/C17</f>
        <v>0.97941315664931383</v>
      </c>
      <c r="J17" s="66">
        <f t="shared" ref="J17:J23" si="1">G17/0.2555</f>
        <v>0.16199608610567515</v>
      </c>
    </row>
    <row r="18" spans="1:14" ht="16.5" thickBot="1" x14ac:dyDescent="0.3">
      <c r="A18" s="59">
        <f>A19-((A19-A17)*(C19-C18)/(C19-C17))</f>
        <v>2217.4246323529433</v>
      </c>
      <c r="B18" s="64">
        <v>0</v>
      </c>
      <c r="C18" s="64">
        <v>0.05</v>
      </c>
      <c r="D18" s="64"/>
      <c r="E18" s="64"/>
      <c r="F18" s="64"/>
      <c r="G18" s="64">
        <f>C18*1.05</f>
        <v>5.2500000000000005E-2</v>
      </c>
      <c r="H18" s="64"/>
      <c r="I18" s="64">
        <f>G18/C18</f>
        <v>1.05</v>
      </c>
      <c r="J18" s="64">
        <f>G18/0.2555</f>
        <v>0.20547945205479454</v>
      </c>
    </row>
    <row r="19" spans="1:14" ht="16.5" thickBot="1" x14ac:dyDescent="0.3">
      <c r="A19" s="47">
        <v>6234</v>
      </c>
      <c r="B19" s="47">
        <f t="shared" ref="B19:B28" si="2">A19-2217</f>
        <v>4017</v>
      </c>
      <c r="C19" s="47">
        <v>6.4019999999999994E-2</v>
      </c>
      <c r="D19" s="47"/>
      <c r="E19" s="47"/>
      <c r="F19" s="47"/>
      <c r="G19" s="47">
        <v>7.2389999999999996E-2</v>
      </c>
      <c r="H19" s="47"/>
      <c r="I19" s="47">
        <f t="shared" si="0"/>
        <v>1.1307403936269915</v>
      </c>
      <c r="J19" s="47">
        <f t="shared" si="1"/>
        <v>0.28332681017612521</v>
      </c>
      <c r="K19">
        <f>(C19-C18)/(B19-B18)</f>
        <v>3.4901667911376627E-6</v>
      </c>
      <c r="L19">
        <f>(G19-G18)/(B19-B18)</f>
        <v>4.9514563106796093E-6</v>
      </c>
      <c r="M19" s="67">
        <f>AVERAGE(C18:C19)</f>
        <v>5.7009999999999998E-2</v>
      </c>
      <c r="N19" s="67">
        <f>AVERAGE(G18:G19)</f>
        <v>6.2445000000000001E-2</v>
      </c>
    </row>
    <row r="20" spans="1:14" ht="16.5" thickBot="1" x14ac:dyDescent="0.3">
      <c r="A20" s="47">
        <v>19094</v>
      </c>
      <c r="B20" s="47">
        <f t="shared" si="2"/>
        <v>16877</v>
      </c>
      <c r="C20" s="47">
        <v>8.4279999999999994E-2</v>
      </c>
      <c r="D20" s="47"/>
      <c r="E20" s="47"/>
      <c r="F20" s="47"/>
      <c r="G20" s="47">
        <v>9.6009999999999998E-2</v>
      </c>
      <c r="H20" s="47"/>
      <c r="I20" s="47">
        <f t="shared" si="0"/>
        <v>1.1391789273849076</v>
      </c>
      <c r="J20" s="47">
        <f t="shared" si="1"/>
        <v>0.37577299412915849</v>
      </c>
      <c r="K20">
        <f t="shared" ref="K20:K28" si="3">(C20-C19)/(B20-B19)</f>
        <v>1.5754276827371696E-6</v>
      </c>
      <c r="L20">
        <f t="shared" ref="L20:L23" si="4">(G20-G19)/(B20-B19)</f>
        <v>1.8367029548989114E-6</v>
      </c>
      <c r="M20" s="67">
        <f t="shared" ref="M20:M28" si="5">AVERAGE(C19:C20)</f>
        <v>7.4149999999999994E-2</v>
      </c>
      <c r="N20" s="67">
        <f t="shared" ref="N20:N23" si="6">AVERAGE(G19:G20)</f>
        <v>8.4199999999999997E-2</v>
      </c>
    </row>
    <row r="21" spans="1:14" ht="16.5" thickBot="1" x14ac:dyDescent="0.3">
      <c r="A21" s="47">
        <v>30142</v>
      </c>
      <c r="B21" s="47">
        <f t="shared" si="2"/>
        <v>27925</v>
      </c>
      <c r="C21" s="47">
        <v>0.10442</v>
      </c>
      <c r="D21" s="47"/>
      <c r="E21" s="47"/>
      <c r="F21" s="47"/>
      <c r="G21" s="47">
        <v>0.14609</v>
      </c>
      <c r="H21" s="47"/>
      <c r="I21" s="47">
        <f t="shared" si="0"/>
        <v>1.3990614824746217</v>
      </c>
      <c r="J21" s="47">
        <f t="shared" si="1"/>
        <v>0.57178082191780821</v>
      </c>
      <c r="K21">
        <f t="shared" si="3"/>
        <v>1.8229543808834184E-6</v>
      </c>
      <c r="L21">
        <f t="shared" si="4"/>
        <v>4.5329471397538011E-6</v>
      </c>
      <c r="M21" s="67">
        <f t="shared" si="5"/>
        <v>9.4349999999999989E-2</v>
      </c>
      <c r="N21" s="67">
        <f t="shared" si="6"/>
        <v>0.12104999999999999</v>
      </c>
    </row>
    <row r="22" spans="1:14" ht="16.5" thickBot="1" x14ac:dyDescent="0.3">
      <c r="A22" s="47">
        <v>38665</v>
      </c>
      <c r="B22" s="47">
        <f t="shared" si="2"/>
        <v>36448</v>
      </c>
      <c r="C22" s="47">
        <v>0.12224</v>
      </c>
      <c r="D22" s="47"/>
      <c r="E22" s="47"/>
      <c r="F22" s="47"/>
      <c r="G22" s="47">
        <v>0.18342</v>
      </c>
      <c r="H22" s="47"/>
      <c r="I22" s="47">
        <f t="shared" si="0"/>
        <v>1.5004908376963351</v>
      </c>
      <c r="J22" s="47">
        <f t="shared" si="1"/>
        <v>0.71788649706457919</v>
      </c>
      <c r="K22">
        <f t="shared" si="3"/>
        <v>2.0908130939809928E-6</v>
      </c>
      <c r="L22">
        <f t="shared" si="4"/>
        <v>4.3799131761116979E-6</v>
      </c>
      <c r="M22" s="67">
        <f t="shared" si="5"/>
        <v>0.11333</v>
      </c>
      <c r="N22" s="67">
        <f t="shared" si="6"/>
        <v>0.16475499999999998</v>
      </c>
    </row>
    <row r="23" spans="1:14" ht="16.5" thickBot="1" x14ac:dyDescent="0.3">
      <c r="A23" s="47">
        <v>43063</v>
      </c>
      <c r="B23" s="47">
        <f t="shared" si="2"/>
        <v>40846</v>
      </c>
      <c r="C23" s="47">
        <v>0.14338000000000001</v>
      </c>
      <c r="D23" s="47"/>
      <c r="E23" s="47">
        <v>4.3520000000000003E-2</v>
      </c>
      <c r="F23" s="47"/>
      <c r="G23" s="47">
        <v>0.25</v>
      </c>
      <c r="H23" s="47"/>
      <c r="I23" s="47">
        <f t="shared" si="0"/>
        <v>1.7436183568140604</v>
      </c>
      <c r="J23" s="47">
        <f t="shared" si="1"/>
        <v>0.97847358121330719</v>
      </c>
      <c r="K23">
        <f t="shared" si="3"/>
        <v>4.8067303319690786E-6</v>
      </c>
      <c r="L23">
        <f t="shared" si="4"/>
        <v>1.5138699408822192E-5</v>
      </c>
      <c r="M23" s="67">
        <f t="shared" si="5"/>
        <v>0.13281000000000001</v>
      </c>
      <c r="N23" s="67">
        <f t="shared" si="6"/>
        <v>0.21671000000000001</v>
      </c>
    </row>
    <row r="24" spans="1:14" ht="16.5" thickBot="1" x14ac:dyDescent="0.3">
      <c r="A24" s="47">
        <v>46329</v>
      </c>
      <c r="B24" s="47">
        <f t="shared" si="2"/>
        <v>44112</v>
      </c>
      <c r="C24" s="47">
        <v>0.17426</v>
      </c>
      <c r="D24" s="47"/>
      <c r="E24" s="47">
        <v>4.7100000000000003E-2</v>
      </c>
      <c r="F24" s="47"/>
      <c r="G24" s="47"/>
      <c r="H24" s="47"/>
      <c r="I24" s="47"/>
      <c r="J24" s="47"/>
      <c r="K24">
        <f t="shared" si="3"/>
        <v>9.454990814451926E-6</v>
      </c>
      <c r="M24" s="67">
        <f t="shared" si="5"/>
        <v>0.15882000000000002</v>
      </c>
      <c r="N24" s="67"/>
    </row>
    <row r="25" spans="1:14" ht="16.5" thickBot="1" x14ac:dyDescent="0.3">
      <c r="A25" s="47">
        <v>49062</v>
      </c>
      <c r="B25" s="47">
        <f t="shared" si="2"/>
        <v>46845</v>
      </c>
      <c r="C25" s="47">
        <v>0.22764000000000001</v>
      </c>
      <c r="D25" s="47"/>
      <c r="E25" s="47">
        <v>4.8120000000000003E-2</v>
      </c>
      <c r="F25" s="47"/>
      <c r="G25" s="47"/>
      <c r="H25" s="47"/>
      <c r="I25" s="47"/>
      <c r="J25" s="47"/>
      <c r="K25">
        <f t="shared" si="3"/>
        <v>1.9531650201244059E-5</v>
      </c>
      <c r="M25" s="67">
        <f t="shared" si="5"/>
        <v>0.20095000000000002</v>
      </c>
      <c r="N25" s="67"/>
    </row>
    <row r="26" spans="1:14" ht="16.5" thickBot="1" x14ac:dyDescent="0.3">
      <c r="A26" s="47">
        <v>49507</v>
      </c>
      <c r="B26" s="47">
        <f t="shared" si="2"/>
        <v>47290</v>
      </c>
      <c r="C26" s="47">
        <v>0.25512000000000001</v>
      </c>
      <c r="D26" s="47"/>
      <c r="E26" s="47">
        <v>6.3119999999999996E-2</v>
      </c>
      <c r="F26" s="47"/>
      <c r="G26" s="47"/>
      <c r="H26" s="47"/>
      <c r="I26" s="47"/>
      <c r="J26" s="47"/>
      <c r="K26">
        <f t="shared" si="3"/>
        <v>6.1752808988764054E-5</v>
      </c>
      <c r="M26" s="67">
        <f t="shared" si="5"/>
        <v>0.24138000000000001</v>
      </c>
      <c r="N26" s="67"/>
    </row>
    <row r="27" spans="1:14" ht="16.5" thickBot="1" x14ac:dyDescent="0.3">
      <c r="A27" s="47">
        <v>49720</v>
      </c>
      <c r="B27" s="47">
        <f t="shared" si="2"/>
        <v>47503</v>
      </c>
      <c r="C27" s="47">
        <v>0.29786000000000001</v>
      </c>
      <c r="D27" s="47"/>
      <c r="E27" s="47">
        <v>8.5519999999999999E-2</v>
      </c>
      <c r="F27" s="47"/>
      <c r="G27" s="47"/>
      <c r="H27" s="47"/>
      <c r="I27" s="47"/>
      <c r="J27" s="47"/>
      <c r="K27">
        <f t="shared" si="3"/>
        <v>2.0065727699530517E-4</v>
      </c>
      <c r="M27" s="67">
        <f t="shared" si="5"/>
        <v>0.27649000000000001</v>
      </c>
      <c r="N27" s="67"/>
    </row>
    <row r="28" spans="1:14" ht="16.5" thickBot="1" x14ac:dyDescent="0.3">
      <c r="A28" s="47">
        <v>49889</v>
      </c>
      <c r="B28" s="47">
        <f t="shared" si="2"/>
        <v>47672</v>
      </c>
      <c r="C28" s="47">
        <v>0.35077999999999998</v>
      </c>
      <c r="D28" s="47"/>
      <c r="E28" s="47">
        <v>0.35077999999999998</v>
      </c>
      <c r="F28" s="47"/>
      <c r="G28" s="47"/>
      <c r="H28" s="47"/>
      <c r="I28" s="47"/>
      <c r="J28" s="47"/>
      <c r="K28">
        <f t="shared" si="3"/>
        <v>3.13136094674556E-4</v>
      </c>
      <c r="M28" s="67">
        <f t="shared" si="5"/>
        <v>0.32432</v>
      </c>
      <c r="N28" s="67"/>
    </row>
    <row r="29" spans="1:14" x14ac:dyDescent="0.25">
      <c r="M29" s="67"/>
      <c r="N29" s="67"/>
    </row>
    <row r="30" spans="1:14" x14ac:dyDescent="0.25">
      <c r="M30" s="67"/>
      <c r="N30" s="67"/>
    </row>
    <row r="31" spans="1:14" x14ac:dyDescent="0.25">
      <c r="M31" s="67"/>
      <c r="N31" s="67"/>
    </row>
    <row r="32" spans="1:14" x14ac:dyDescent="0.25">
      <c r="M32" s="67"/>
      <c r="N32" s="67"/>
    </row>
    <row r="33" spans="13:13" x14ac:dyDescent="0.25">
      <c r="M33" s="67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0:N38"/>
  <sheetViews>
    <sheetView topLeftCell="E1" zoomScale="70" zoomScaleNormal="70" workbookViewId="0">
      <selection activeCell="Q30" sqref="Q30"/>
    </sheetView>
  </sheetViews>
  <sheetFormatPr defaultRowHeight="15" x14ac:dyDescent="0.25"/>
  <cols>
    <col min="2" max="2" width="10.5703125" customWidth="1"/>
    <col min="8" max="8" width="21.140625" customWidth="1"/>
    <col min="11" max="11" width="13" bestFit="1" customWidth="1"/>
    <col min="12" max="12" width="13.5703125" bestFit="1" customWidth="1"/>
    <col min="13" max="13" width="14.85546875" bestFit="1" customWidth="1"/>
  </cols>
  <sheetData>
    <row r="10" spans="1:14" ht="104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81" t="s">
        <v>25</v>
      </c>
      <c r="J11" s="81" t="s">
        <v>26</v>
      </c>
      <c r="K11" s="81" t="s">
        <v>45</v>
      </c>
      <c r="L11" s="81" t="s">
        <v>44</v>
      </c>
      <c r="M11" s="81" t="s">
        <v>46</v>
      </c>
      <c r="N11" s="81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82"/>
      <c r="J12" s="82"/>
      <c r="K12" s="82"/>
      <c r="L12" s="82"/>
      <c r="M12" s="82"/>
      <c r="N12" s="82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83"/>
      <c r="J13" s="83"/>
      <c r="K13" s="83"/>
      <c r="L13" s="83"/>
      <c r="M13" s="83"/>
      <c r="N13" s="83"/>
    </row>
    <row r="14" spans="1:14" ht="16.5" thickBot="1" x14ac:dyDescent="0.3">
      <c r="A14" s="77"/>
      <c r="B14" s="89"/>
      <c r="C14" s="10" t="s">
        <v>32</v>
      </c>
      <c r="D14" s="10" t="s">
        <v>33</v>
      </c>
      <c r="E14" s="10" t="s">
        <v>34</v>
      </c>
      <c r="F14" s="10" t="s">
        <v>33</v>
      </c>
      <c r="G14" s="77"/>
      <c r="H14" s="84"/>
      <c r="I14" s="84"/>
      <c r="J14" s="84"/>
      <c r="K14" s="84"/>
      <c r="L14" s="84"/>
      <c r="M14" s="84"/>
      <c r="N14" s="84"/>
    </row>
    <row r="15" spans="1:14" ht="15.75" x14ac:dyDescent="0.25">
      <c r="A15" s="26">
        <v>0</v>
      </c>
      <c r="C15" s="30"/>
      <c r="D15" s="30"/>
      <c r="E15" s="30"/>
      <c r="F15" s="30"/>
      <c r="G15" s="30"/>
      <c r="H15" s="31" t="s">
        <v>35</v>
      </c>
      <c r="I15" s="31"/>
      <c r="J15" s="31"/>
    </row>
    <row r="16" spans="1:14" ht="15.75" x14ac:dyDescent="0.25">
      <c r="A16" s="27">
        <v>50015</v>
      </c>
      <c r="C16" s="33">
        <v>2.8740000000000002E-2</v>
      </c>
      <c r="D16" s="33"/>
      <c r="E16" s="33"/>
      <c r="F16" s="33"/>
      <c r="G16" s="33"/>
      <c r="H16" s="34"/>
      <c r="I16" s="34"/>
      <c r="J16" s="34"/>
    </row>
    <row r="17" spans="1:14" ht="15.75" x14ac:dyDescent="0.25">
      <c r="A17" s="27">
        <v>0</v>
      </c>
      <c r="B17" s="32">
        <f>A17-127974</f>
        <v>-127974</v>
      </c>
      <c r="C17" s="33">
        <v>2.0472400000000123E-2</v>
      </c>
      <c r="D17" s="33"/>
      <c r="E17" s="33"/>
      <c r="F17" s="33"/>
      <c r="G17" s="33">
        <v>1.7964483449616216E-2</v>
      </c>
      <c r="H17" s="34"/>
      <c r="I17" s="55">
        <f>G17/C17</f>
        <v>0.87749767734198758</v>
      </c>
      <c r="J17" s="55">
        <f>G17/0.253</f>
        <v>7.1005863437218236E-2</v>
      </c>
    </row>
    <row r="18" spans="1:14" ht="15.75" x14ac:dyDescent="0.25">
      <c r="A18" s="27">
        <v>88291</v>
      </c>
      <c r="B18" s="32">
        <f t="shared" ref="B18:B38" si="0">A18-127974</f>
        <v>-39683</v>
      </c>
      <c r="C18" s="33">
        <v>3.8188899999999956E-2</v>
      </c>
      <c r="D18" s="33"/>
      <c r="E18" s="33"/>
      <c r="F18" s="33"/>
      <c r="G18" s="33">
        <v>4.2665648192838176E-2</v>
      </c>
      <c r="H18" s="34"/>
      <c r="I18" s="55">
        <f t="shared" ref="I18:I28" si="1">G18/C18</f>
        <v>1.1172264242446948</v>
      </c>
      <c r="J18" s="55">
        <f t="shared" ref="J18:J28" si="2">G18/0.253</f>
        <v>0.168638925663392</v>
      </c>
    </row>
    <row r="19" spans="1:14" ht="15.75" x14ac:dyDescent="0.25">
      <c r="A19" s="22">
        <f>A20-((A20-A18)*(C20-C19)/(C20-C18))</f>
        <v>127973.98904169236</v>
      </c>
      <c r="B19" s="22">
        <f t="shared" si="0"/>
        <v>-1.0958307640976273E-2</v>
      </c>
      <c r="C19" s="24">
        <v>0.05</v>
      </c>
      <c r="D19" s="24"/>
      <c r="E19" s="24"/>
      <c r="F19" s="24"/>
      <c r="G19" s="24">
        <f>C19*1.2</f>
        <v>0.06</v>
      </c>
      <c r="H19" s="38"/>
      <c r="I19" s="56">
        <f t="shared" si="1"/>
        <v>1.2</v>
      </c>
      <c r="J19" s="56">
        <f t="shared" si="2"/>
        <v>0.23715415019762845</v>
      </c>
    </row>
    <row r="20" spans="1:14" ht="15.75" x14ac:dyDescent="0.25">
      <c r="A20" s="27">
        <v>153106</v>
      </c>
      <c r="B20" s="32">
        <f t="shared" si="0"/>
        <v>25132</v>
      </c>
      <c r="C20" s="33">
        <v>5.7480200000000037E-2</v>
      </c>
      <c r="D20" s="33"/>
      <c r="E20" s="33"/>
      <c r="F20" s="33"/>
      <c r="G20" s="33">
        <v>7.4103494229666417E-2</v>
      </c>
      <c r="H20" s="34"/>
      <c r="I20" s="55">
        <f t="shared" si="1"/>
        <v>1.2892003547250421</v>
      </c>
      <c r="J20" s="55">
        <f t="shared" si="2"/>
        <v>0.29289918667852338</v>
      </c>
      <c r="K20">
        <f t="shared" ref="K20:K37" si="3">(C20-C19)/(A20-A19)</f>
        <v>2.9763634961043092E-7</v>
      </c>
      <c r="L20">
        <f t="shared" ref="L20:L28" si="4">(G20-G19)/(A20-A19)</f>
        <v>5.611765112255916E-7</v>
      </c>
      <c r="M20" s="57">
        <f>AVERAGE(C19:C20)</f>
        <v>5.374010000000002E-2</v>
      </c>
      <c r="N20" s="57">
        <f>AVERAGE(G19:G20)</f>
        <v>6.7051747114833207E-2</v>
      </c>
    </row>
    <row r="21" spans="1:14" ht="15.75" x14ac:dyDescent="0.25">
      <c r="A21" s="27">
        <v>180379</v>
      </c>
      <c r="B21" s="32">
        <f t="shared" si="0"/>
        <v>52405</v>
      </c>
      <c r="C21" s="33">
        <v>7.3621900000000184E-2</v>
      </c>
      <c r="D21" s="33"/>
      <c r="E21" s="33"/>
      <c r="F21" s="33"/>
      <c r="G21" s="33">
        <v>9.4313538110484735E-2</v>
      </c>
      <c r="H21" s="34"/>
      <c r="I21" s="55">
        <f t="shared" si="1"/>
        <v>1.281052758900334</v>
      </c>
      <c r="J21" s="55">
        <f t="shared" si="2"/>
        <v>0.37278078304539419</v>
      </c>
      <c r="K21">
        <f t="shared" si="3"/>
        <v>5.9185641476919101E-7</v>
      </c>
      <c r="L21">
        <f t="shared" si="4"/>
        <v>7.4102753202135148E-7</v>
      </c>
      <c r="M21" s="57">
        <f t="shared" ref="M21:M37" si="5">AVERAGE(C20:C21)</f>
        <v>6.5551050000000111E-2</v>
      </c>
      <c r="N21" s="57">
        <f t="shared" ref="N21:N28" si="6">AVERAGE(G20:G21)</f>
        <v>8.4208516170075576E-2</v>
      </c>
    </row>
    <row r="22" spans="1:14" ht="15.75" x14ac:dyDescent="0.25">
      <c r="A22" s="27">
        <v>207318</v>
      </c>
      <c r="B22" s="32">
        <f t="shared" si="0"/>
        <v>79344</v>
      </c>
      <c r="C22" s="33">
        <v>9.4094300000000033E-2</v>
      </c>
      <c r="D22" s="33"/>
      <c r="E22" s="33"/>
      <c r="F22" s="33"/>
      <c r="G22" s="33">
        <v>0.12051174314117441</v>
      </c>
      <c r="H22" s="34"/>
      <c r="I22" s="55">
        <f t="shared" si="1"/>
        <v>1.2807549781567467</v>
      </c>
      <c r="J22" s="55">
        <f t="shared" si="2"/>
        <v>0.47633100055800159</v>
      </c>
      <c r="K22">
        <f t="shared" si="3"/>
        <v>7.5995397008054672E-7</v>
      </c>
      <c r="L22">
        <f t="shared" si="4"/>
        <v>9.72501021964055E-7</v>
      </c>
      <c r="M22" s="57">
        <f t="shared" si="5"/>
        <v>8.3858100000000102E-2</v>
      </c>
      <c r="N22" s="57">
        <f t="shared" si="6"/>
        <v>0.10741264062582957</v>
      </c>
    </row>
    <row r="23" spans="1:14" ht="15.75" x14ac:dyDescent="0.25">
      <c r="A23" s="27">
        <v>225766</v>
      </c>
      <c r="B23" s="32">
        <f t="shared" si="0"/>
        <v>97792</v>
      </c>
      <c r="C23" s="33">
        <v>0.11653520000000003</v>
      </c>
      <c r="D23" s="33"/>
      <c r="E23" s="33"/>
      <c r="F23" s="33"/>
      <c r="G23" s="33">
        <v>0.13922474673452448</v>
      </c>
      <c r="H23" s="34"/>
      <c r="I23" s="55">
        <f t="shared" si="1"/>
        <v>1.194701229624392</v>
      </c>
      <c r="J23" s="55">
        <f t="shared" si="2"/>
        <v>0.55029544163843669</v>
      </c>
      <c r="K23">
        <f t="shared" si="3"/>
        <v>1.2164408065915004E-6</v>
      </c>
      <c r="L23">
        <f t="shared" si="4"/>
        <v>1.0143648955632085E-6</v>
      </c>
      <c r="M23" s="57">
        <f t="shared" si="5"/>
        <v>0.10531475000000004</v>
      </c>
      <c r="N23" s="57">
        <f t="shared" si="6"/>
        <v>0.12986824493784943</v>
      </c>
    </row>
    <row r="24" spans="1:14" ht="15.75" x14ac:dyDescent="0.25">
      <c r="A24" s="27">
        <v>244554</v>
      </c>
      <c r="B24" s="32">
        <f t="shared" si="0"/>
        <v>116580</v>
      </c>
      <c r="C24" s="33">
        <v>0.14527530000000019</v>
      </c>
      <c r="D24" s="33"/>
      <c r="E24" s="33"/>
      <c r="F24" s="33"/>
      <c r="G24" s="33">
        <v>0.15344662946547089</v>
      </c>
      <c r="H24" s="34"/>
      <c r="I24" s="55">
        <f t="shared" si="1"/>
        <v>1.0562472042079465</v>
      </c>
      <c r="J24" s="55">
        <f t="shared" si="2"/>
        <v>0.60650841685956869</v>
      </c>
      <c r="K24">
        <f t="shared" si="3"/>
        <v>1.5297051309346474E-6</v>
      </c>
      <c r="L24">
        <f t="shared" si="4"/>
        <v>7.5696629396137989E-7</v>
      </c>
      <c r="M24" s="57">
        <f t="shared" si="5"/>
        <v>0.13090525000000011</v>
      </c>
      <c r="N24" s="57">
        <f t="shared" si="6"/>
        <v>0.1463356880999977</v>
      </c>
    </row>
    <row r="25" spans="1:14" ht="15.75" x14ac:dyDescent="0.25">
      <c r="A25" s="27">
        <v>268377</v>
      </c>
      <c r="B25" s="32">
        <f t="shared" si="0"/>
        <v>140403</v>
      </c>
      <c r="C25" s="33">
        <v>0.17873979999999998</v>
      </c>
      <c r="D25" s="33"/>
      <c r="E25" s="33"/>
      <c r="F25" s="33"/>
      <c r="G25" s="33">
        <v>0.18638151578976683</v>
      </c>
      <c r="H25" s="34"/>
      <c r="I25" s="55">
        <f t="shared" si="1"/>
        <v>1.0427532971938362</v>
      </c>
      <c r="J25" s="55">
        <f t="shared" si="2"/>
        <v>0.73668583316113367</v>
      </c>
      <c r="K25">
        <f t="shared" si="3"/>
        <v>1.4047139319145274E-6</v>
      </c>
      <c r="L25">
        <f t="shared" si="4"/>
        <v>1.3824827403893694E-6</v>
      </c>
      <c r="M25" s="57">
        <f t="shared" si="5"/>
        <v>0.16200755000000008</v>
      </c>
      <c r="N25" s="57">
        <f t="shared" si="6"/>
        <v>0.16991407262761887</v>
      </c>
    </row>
    <row r="26" spans="1:14" ht="15.75" x14ac:dyDescent="0.25">
      <c r="A26" s="27">
        <v>285471</v>
      </c>
      <c r="B26" s="32">
        <f t="shared" si="0"/>
        <v>157497</v>
      </c>
      <c r="C26" s="33">
        <v>0.21653500000000001</v>
      </c>
      <c r="D26" s="33"/>
      <c r="E26" s="33"/>
      <c r="F26" s="33"/>
      <c r="G26" s="33">
        <v>0.20734007981431846</v>
      </c>
      <c r="H26" s="34"/>
      <c r="I26" s="55">
        <f t="shared" si="1"/>
        <v>0.9575361018510562</v>
      </c>
      <c r="J26" s="55">
        <f t="shared" si="2"/>
        <v>0.81952600717121915</v>
      </c>
      <c r="K26">
        <f t="shared" si="3"/>
        <v>2.2110214110214125E-6</v>
      </c>
      <c r="L26">
        <f t="shared" si="4"/>
        <v>1.2260772215134916E-6</v>
      </c>
      <c r="M26" s="57">
        <f t="shared" si="5"/>
        <v>0.19763739999999999</v>
      </c>
      <c r="N26" s="57">
        <f t="shared" si="6"/>
        <v>0.19686079780204263</v>
      </c>
    </row>
    <row r="27" spans="1:14" ht="15.75" x14ac:dyDescent="0.25">
      <c r="A27" s="27">
        <v>297632</v>
      </c>
      <c r="B27" s="32">
        <f t="shared" si="0"/>
        <v>169658</v>
      </c>
      <c r="C27" s="33">
        <v>0.25314910000000002</v>
      </c>
      <c r="D27" s="33"/>
      <c r="E27" s="33"/>
      <c r="F27" s="33"/>
      <c r="G27" s="33">
        <v>0.2327897647012748</v>
      </c>
      <c r="H27" s="34"/>
      <c r="I27" s="55">
        <f t="shared" si="1"/>
        <v>0.91957571526533088</v>
      </c>
      <c r="J27" s="55">
        <f t="shared" si="2"/>
        <v>0.92011764704061183</v>
      </c>
      <c r="K27">
        <f t="shared" si="3"/>
        <v>3.0107803634569536E-6</v>
      </c>
      <c r="L27">
        <f t="shared" si="4"/>
        <v>2.0927296182021495E-6</v>
      </c>
      <c r="M27" s="57">
        <f t="shared" si="5"/>
        <v>0.23484205000000002</v>
      </c>
      <c r="N27" s="57">
        <f t="shared" si="6"/>
        <v>0.22006492225779661</v>
      </c>
    </row>
    <row r="28" spans="1:14" ht="15.75" x14ac:dyDescent="0.25">
      <c r="A28" s="27">
        <v>304829</v>
      </c>
      <c r="B28" s="32">
        <f t="shared" si="0"/>
        <v>176855</v>
      </c>
      <c r="C28" s="33">
        <v>0.27834590000000003</v>
      </c>
      <c r="D28" s="33"/>
      <c r="E28" s="33">
        <v>0.15590520000000005</v>
      </c>
      <c r="F28" s="33"/>
      <c r="G28" s="33">
        <v>0.25</v>
      </c>
      <c r="H28" s="34" t="s">
        <v>36</v>
      </c>
      <c r="I28" s="34">
        <f t="shared" si="1"/>
        <v>0.89816304102198008</v>
      </c>
      <c r="J28" s="34">
        <f t="shared" si="2"/>
        <v>0.98814229249011853</v>
      </c>
      <c r="K28">
        <f t="shared" si="3"/>
        <v>3.5010143115186912E-6</v>
      </c>
      <c r="L28">
        <f t="shared" si="4"/>
        <v>2.3913068360046135E-6</v>
      </c>
      <c r="M28" s="57">
        <f t="shared" si="5"/>
        <v>0.26574750000000003</v>
      </c>
      <c r="N28" s="57">
        <f t="shared" si="6"/>
        <v>0.24139488235063739</v>
      </c>
    </row>
    <row r="29" spans="1:14" ht="15.75" x14ac:dyDescent="0.25">
      <c r="A29" s="27">
        <v>311364</v>
      </c>
      <c r="B29" s="32">
        <f t="shared" si="0"/>
        <v>183390</v>
      </c>
      <c r="C29" s="33">
        <v>0.30708600000000019</v>
      </c>
      <c r="D29" s="33"/>
      <c r="E29" s="33">
        <v>0.22401530000000006</v>
      </c>
      <c r="F29" s="33"/>
      <c r="G29" s="33"/>
      <c r="H29" s="34"/>
      <c r="I29" s="34"/>
      <c r="J29" s="34"/>
      <c r="K29">
        <f t="shared" si="3"/>
        <v>4.3978729915838037E-6</v>
      </c>
      <c r="M29" s="57">
        <f t="shared" si="5"/>
        <v>0.29271595000000011</v>
      </c>
      <c r="N29" s="57"/>
    </row>
    <row r="30" spans="1:14" ht="15.75" x14ac:dyDescent="0.25">
      <c r="A30" s="27">
        <v>320903</v>
      </c>
      <c r="B30" s="32">
        <f t="shared" si="0"/>
        <v>192929</v>
      </c>
      <c r="C30" s="33">
        <v>0.35826700000000006</v>
      </c>
      <c r="D30" s="33"/>
      <c r="E30" s="33">
        <v>0.32558989999999999</v>
      </c>
      <c r="F30" s="33"/>
      <c r="G30" s="33"/>
      <c r="H30" s="34"/>
      <c r="I30" s="34"/>
      <c r="J30" s="34"/>
      <c r="K30">
        <f t="shared" si="3"/>
        <v>5.3654471118565746E-6</v>
      </c>
      <c r="M30" s="57">
        <f t="shared" si="5"/>
        <v>0.33267650000000015</v>
      </c>
      <c r="N30" s="57"/>
    </row>
    <row r="31" spans="1:14" ht="15.75" x14ac:dyDescent="0.25">
      <c r="A31" s="27">
        <v>332865</v>
      </c>
      <c r="B31" s="32">
        <f t="shared" si="0"/>
        <v>204891</v>
      </c>
      <c r="C31" s="33">
        <v>0.45196759999999991</v>
      </c>
      <c r="D31" s="33"/>
      <c r="E31" s="33">
        <v>0.41692830000000003</v>
      </c>
      <c r="F31" s="33"/>
      <c r="G31" s="33"/>
      <c r="H31" s="34"/>
      <c r="I31" s="34"/>
      <c r="J31" s="34"/>
      <c r="K31">
        <f t="shared" si="3"/>
        <v>7.8331884300284107E-6</v>
      </c>
      <c r="M31" s="57">
        <f t="shared" si="5"/>
        <v>0.40511730000000001</v>
      </c>
      <c r="N31" s="57"/>
    </row>
    <row r="32" spans="1:14" ht="15.75" x14ac:dyDescent="0.25">
      <c r="A32" s="27">
        <v>347386</v>
      </c>
      <c r="B32" s="32">
        <f t="shared" si="0"/>
        <v>219412</v>
      </c>
      <c r="C32" s="33">
        <v>0.56810910000000003</v>
      </c>
      <c r="D32" s="33"/>
      <c r="E32" s="33">
        <v>0.54330600000000007</v>
      </c>
      <c r="F32" s="33"/>
      <c r="G32" s="33"/>
      <c r="H32" s="34"/>
      <c r="I32" s="34"/>
      <c r="J32" s="34"/>
      <c r="K32">
        <f t="shared" si="3"/>
        <v>7.9981750568142766E-6</v>
      </c>
      <c r="M32" s="57">
        <f t="shared" si="5"/>
        <v>0.51003834999999997</v>
      </c>
    </row>
    <row r="33" spans="1:13" ht="15.75" x14ac:dyDescent="0.25">
      <c r="A33" s="27">
        <v>360565</v>
      </c>
      <c r="B33" s="32">
        <f t="shared" si="0"/>
        <v>232591</v>
      </c>
      <c r="C33" s="33">
        <v>0.68425060000000015</v>
      </c>
      <c r="D33" s="33"/>
      <c r="E33" s="33">
        <v>0.66417190000000004</v>
      </c>
      <c r="F33" s="33"/>
      <c r="G33" s="33"/>
      <c r="H33" s="34"/>
      <c r="I33" s="34"/>
      <c r="J33" s="34"/>
      <c r="K33">
        <f t="shared" si="3"/>
        <v>8.8126185598300417E-6</v>
      </c>
      <c r="M33" s="57">
        <f t="shared" si="5"/>
        <v>0.62617985000000009</v>
      </c>
    </row>
    <row r="34" spans="1:13" ht="15.75" x14ac:dyDescent="0.25">
      <c r="A34" s="27">
        <v>372388</v>
      </c>
      <c r="B34" s="32">
        <f t="shared" si="0"/>
        <v>244414</v>
      </c>
      <c r="C34" s="33">
        <v>0.79527400000000015</v>
      </c>
      <c r="D34" s="33"/>
      <c r="E34" s="33">
        <v>0.81220310000000018</v>
      </c>
      <c r="F34" s="33"/>
      <c r="G34" s="33"/>
      <c r="H34" s="34"/>
      <c r="I34" s="34"/>
      <c r="J34" s="34"/>
      <c r="K34">
        <f t="shared" si="3"/>
        <v>9.3904592742958639E-6</v>
      </c>
      <c r="M34" s="57">
        <f t="shared" si="5"/>
        <v>0.73976230000000021</v>
      </c>
    </row>
    <row r="35" spans="1:13" ht="15.75" x14ac:dyDescent="0.25">
      <c r="A35" s="27">
        <v>382267</v>
      </c>
      <c r="B35" s="32">
        <f t="shared" si="0"/>
        <v>254293</v>
      </c>
      <c r="C35" s="33">
        <v>0.92480129999999983</v>
      </c>
      <c r="D35" s="33"/>
      <c r="E35" s="33">
        <v>0.92558869999999993</v>
      </c>
      <c r="F35" s="33"/>
      <c r="G35" s="33"/>
      <c r="H35" s="34"/>
      <c r="I35" s="34"/>
      <c r="J35" s="34"/>
      <c r="K35">
        <f t="shared" si="3"/>
        <v>1.3111377669804603E-5</v>
      </c>
      <c r="M35" s="57">
        <f t="shared" si="5"/>
        <v>0.86003764999999999</v>
      </c>
    </row>
    <row r="36" spans="1:13" ht="15.75" x14ac:dyDescent="0.25">
      <c r="A36" s="27">
        <v>392346</v>
      </c>
      <c r="B36" s="32">
        <f t="shared" si="0"/>
        <v>264372</v>
      </c>
      <c r="C36" s="33">
        <v>1.0444861000000001</v>
      </c>
      <c r="D36" s="33"/>
      <c r="E36" s="33">
        <v>0.9877933000000001</v>
      </c>
      <c r="F36" s="33"/>
      <c r="G36" s="33"/>
      <c r="H36" s="34"/>
      <c r="I36" s="34"/>
      <c r="J36" s="34"/>
      <c r="K36">
        <f t="shared" si="3"/>
        <v>1.1874670106161351E-5</v>
      </c>
      <c r="M36" s="57">
        <f t="shared" si="5"/>
        <v>0.9846436999999999</v>
      </c>
    </row>
    <row r="37" spans="1:13" ht="15.75" x14ac:dyDescent="0.25">
      <c r="A37" s="27">
        <v>411818</v>
      </c>
      <c r="B37" s="32">
        <f t="shared" si="0"/>
        <v>283844</v>
      </c>
      <c r="C37" s="33">
        <v>1.2342494999999998</v>
      </c>
      <c r="D37" s="33"/>
      <c r="E37" s="33">
        <v>1.1850370000000001</v>
      </c>
      <c r="F37" s="33"/>
      <c r="G37" s="33"/>
      <c r="H37" s="34"/>
      <c r="I37" s="34"/>
      <c r="J37" s="34"/>
      <c r="K37">
        <f t="shared" si="3"/>
        <v>9.745449876746081E-6</v>
      </c>
      <c r="M37" s="57">
        <f t="shared" si="5"/>
        <v>1.1393678</v>
      </c>
    </row>
    <row r="38" spans="1:13" ht="16.5" thickBot="1" x14ac:dyDescent="0.3">
      <c r="A38" s="28">
        <v>425336</v>
      </c>
      <c r="B38" s="35">
        <f t="shared" si="0"/>
        <v>297362</v>
      </c>
      <c r="C38" s="72" t="s">
        <v>38</v>
      </c>
      <c r="D38" s="73"/>
      <c r="E38" s="73"/>
      <c r="F38" s="74"/>
      <c r="G38" s="36"/>
      <c r="H38" s="37"/>
      <c r="I38" s="37"/>
      <c r="J38" s="37"/>
    </row>
  </sheetData>
  <mergeCells count="15">
    <mergeCell ref="K11:K14"/>
    <mergeCell ref="L11:L14"/>
    <mergeCell ref="M11:M14"/>
    <mergeCell ref="N11:N14"/>
    <mergeCell ref="I11:I14"/>
    <mergeCell ref="J11:J14"/>
    <mergeCell ref="C12:F12"/>
    <mergeCell ref="G12:G14"/>
    <mergeCell ref="C13:D13"/>
    <mergeCell ref="E13:F13"/>
    <mergeCell ref="C38:F38"/>
    <mergeCell ref="A11:A14"/>
    <mergeCell ref="B11:B14"/>
    <mergeCell ref="C11:G11"/>
    <mergeCell ref="H11:H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0:N31"/>
  <sheetViews>
    <sheetView zoomScale="85" zoomScaleNormal="85" workbookViewId="0">
      <selection activeCell="R23" sqref="R23"/>
    </sheetView>
  </sheetViews>
  <sheetFormatPr defaultRowHeight="15" x14ac:dyDescent="0.25"/>
  <cols>
    <col min="1" max="1" width="9.7109375" customWidth="1"/>
    <col min="2" max="2" width="10.5703125" customWidth="1"/>
    <col min="8" max="8" width="21.140625" customWidth="1"/>
    <col min="11" max="12" width="12.28515625" bestFit="1" customWidth="1"/>
  </cols>
  <sheetData>
    <row r="10" spans="1:14" ht="55.9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90" t="s">
        <v>25</v>
      </c>
      <c r="J11" s="90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90"/>
      <c r="J12" s="90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90"/>
      <c r="J13" s="90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90"/>
      <c r="J14" s="90"/>
      <c r="K14" s="90"/>
      <c r="L14" s="90"/>
      <c r="M14" s="90"/>
      <c r="N14" s="90"/>
    </row>
    <row r="15" spans="1:14" ht="16.5" thickBot="1" x14ac:dyDescent="0.3">
      <c r="A15" s="40">
        <v>0</v>
      </c>
      <c r="B15" s="40">
        <f>A15-10649</f>
        <v>-10649</v>
      </c>
      <c r="C15" s="29">
        <v>3.3862000000000059E-2</v>
      </c>
      <c r="D15" s="29"/>
      <c r="E15" s="29"/>
      <c r="F15" s="29"/>
      <c r="G15" s="29">
        <v>1.2259532373755473E-2</v>
      </c>
      <c r="H15" s="29"/>
      <c r="I15" s="29">
        <f>G15/C15</f>
        <v>0.36204395410062762</v>
      </c>
      <c r="J15" s="29">
        <f>G15/0.255</f>
        <v>4.8076597544139107E-2</v>
      </c>
    </row>
    <row r="16" spans="1:14" ht="16.5" thickBot="1" x14ac:dyDescent="0.3">
      <c r="A16" s="43">
        <f>A17-((A17-A15)*(C17-C16)/(C17-C15))</f>
        <v>10649.25462104086</v>
      </c>
      <c r="B16" s="43">
        <v>0</v>
      </c>
      <c r="C16" s="41">
        <v>0.05</v>
      </c>
      <c r="D16" s="41"/>
      <c r="E16" s="41"/>
      <c r="F16" s="41"/>
      <c r="G16" s="41">
        <f>C16*0.85</f>
        <v>4.2500000000000003E-2</v>
      </c>
      <c r="H16" s="41"/>
      <c r="I16" s="41">
        <f>G16/C16</f>
        <v>0.85</v>
      </c>
      <c r="J16" s="41">
        <f>G16/0.255</f>
        <v>0.16666666666666669</v>
      </c>
    </row>
    <row r="17" spans="1:14" ht="16.5" thickBot="1" x14ac:dyDescent="0.3">
      <c r="A17" s="40">
        <v>20524</v>
      </c>
      <c r="B17" s="40">
        <f t="shared" ref="B17:B31" si="0">A17-10649</f>
        <v>9875</v>
      </c>
      <c r="C17" s="29">
        <v>6.496430000000003E-2</v>
      </c>
      <c r="D17" s="29"/>
      <c r="E17" s="29"/>
      <c r="F17" s="29"/>
      <c r="G17" s="29">
        <v>6.1910638487466772E-2</v>
      </c>
      <c r="H17" s="29"/>
      <c r="I17" s="29">
        <f t="shared" ref="I17:I24" si="1">G17/C17</f>
        <v>0.95299477539920763</v>
      </c>
      <c r="J17" s="29">
        <f t="shared" ref="J17:J24" si="2">G17/0.255</f>
        <v>0.2427868175979089</v>
      </c>
      <c r="K17">
        <f t="shared" ref="K17:K30" si="3">(C17-C16)/(B17-B16)</f>
        <v>1.5153721518987369E-6</v>
      </c>
      <c r="L17">
        <f t="shared" ref="L17:L24" si="4">(G17-G16)/(B17-B16)</f>
        <v>1.9656342772118247E-6</v>
      </c>
      <c r="M17" s="57">
        <f>AVERAGE(C16:C17)</f>
        <v>5.7482150000000017E-2</v>
      </c>
      <c r="N17" s="57">
        <f>AVERAGE(G16:G17)</f>
        <v>5.2205319243733388E-2</v>
      </c>
    </row>
    <row r="18" spans="1:14" ht="16.5" thickBot="1" x14ac:dyDescent="0.3">
      <c r="A18" s="40">
        <v>42086</v>
      </c>
      <c r="B18" s="40">
        <f t="shared" si="0"/>
        <v>31437</v>
      </c>
      <c r="C18" s="29">
        <v>7.2050900000000015E-2</v>
      </c>
      <c r="D18" s="29"/>
      <c r="E18" s="29"/>
      <c r="F18" s="29"/>
      <c r="G18" s="29">
        <v>8.1525890285475966E-2</v>
      </c>
      <c r="H18" s="29"/>
      <c r="I18" s="29">
        <f t="shared" si="1"/>
        <v>1.13150412119038</v>
      </c>
      <c r="J18" s="29">
        <f t="shared" si="2"/>
        <v>0.31970937366853319</v>
      </c>
      <c r="K18">
        <f t="shared" si="3"/>
        <v>3.2866153418050202E-7</v>
      </c>
      <c r="L18">
        <f t="shared" si="4"/>
        <v>9.0971393182493246E-7</v>
      </c>
      <c r="M18" s="57">
        <f t="shared" ref="M18:M30" si="5">AVERAGE(C17:C18)</f>
        <v>6.850760000000003E-2</v>
      </c>
      <c r="N18" s="57">
        <f t="shared" ref="N18:N24" si="6">AVERAGE(G17:G18)</f>
        <v>7.1718264386471373E-2</v>
      </c>
    </row>
    <row r="19" spans="1:14" ht="16.5" thickBot="1" x14ac:dyDescent="0.3">
      <c r="A19" s="40">
        <v>72446</v>
      </c>
      <c r="B19" s="40">
        <f t="shared" si="0"/>
        <v>61797</v>
      </c>
      <c r="C19" s="29">
        <v>9.4885500000000234E-2</v>
      </c>
      <c r="D19" s="29">
        <v>1.2598400000000011E-2</v>
      </c>
      <c r="E19" s="29"/>
      <c r="F19" s="29"/>
      <c r="G19" s="29">
        <v>9.8076258990045975E-2</v>
      </c>
      <c r="H19" s="29"/>
      <c r="I19" s="29">
        <f t="shared" si="1"/>
        <v>1.0336274666840111</v>
      </c>
      <c r="J19" s="29">
        <f t="shared" si="2"/>
        <v>0.38461278035312146</v>
      </c>
      <c r="K19">
        <f t="shared" si="3"/>
        <v>7.5212779973650257E-7</v>
      </c>
      <c r="L19">
        <f t="shared" si="4"/>
        <v>5.451373091096841E-7</v>
      </c>
      <c r="M19" s="57">
        <f t="shared" si="5"/>
        <v>8.3468200000000131E-2</v>
      </c>
      <c r="N19" s="57">
        <f t="shared" si="6"/>
        <v>8.9801074637760964E-2</v>
      </c>
    </row>
    <row r="20" spans="1:14" ht="16.5" thickBot="1" x14ac:dyDescent="0.3">
      <c r="A20" s="40">
        <v>93336</v>
      </c>
      <c r="B20" s="40">
        <f t="shared" si="0"/>
        <v>82687</v>
      </c>
      <c r="C20" s="29">
        <v>9.7641399999999962E-2</v>
      </c>
      <c r="D20" s="29">
        <v>4.9606199999999927E-2</v>
      </c>
      <c r="E20" s="29"/>
      <c r="F20" s="29"/>
      <c r="G20" s="29">
        <v>0.11094876798248911</v>
      </c>
      <c r="H20" s="29"/>
      <c r="I20" s="29">
        <f t="shared" si="1"/>
        <v>1.1362881726653771</v>
      </c>
      <c r="J20" s="29">
        <f t="shared" si="2"/>
        <v>0.43509320777446708</v>
      </c>
      <c r="K20">
        <f t="shared" si="3"/>
        <v>1.3192436572521437E-7</v>
      </c>
      <c r="L20">
        <f t="shared" si="4"/>
        <v>6.1620435578952285E-7</v>
      </c>
      <c r="M20" s="57">
        <f t="shared" si="5"/>
        <v>9.6263450000000098E-2</v>
      </c>
      <c r="N20" s="57">
        <f t="shared" si="6"/>
        <v>0.10451251348626754</v>
      </c>
    </row>
    <row r="21" spans="1:14" ht="16.5" thickBot="1" x14ac:dyDescent="0.3">
      <c r="A21" s="40">
        <v>113774</v>
      </c>
      <c r="B21" s="40">
        <f t="shared" si="0"/>
        <v>103125</v>
      </c>
      <c r="C21" s="29">
        <v>0.10669649999999983</v>
      </c>
      <c r="D21" s="29">
        <v>6.2204599999999936E-2</v>
      </c>
      <c r="E21" s="29"/>
      <c r="F21" s="29"/>
      <c r="G21" s="29">
        <v>0.12995104316181019</v>
      </c>
      <c r="H21" s="29"/>
      <c r="I21" s="29">
        <f t="shared" si="1"/>
        <v>1.2179503841439072</v>
      </c>
      <c r="J21" s="29">
        <f t="shared" si="2"/>
        <v>0.50961193396788307</v>
      </c>
      <c r="K21">
        <f t="shared" si="3"/>
        <v>4.4305215774536996E-7</v>
      </c>
      <c r="L21">
        <f t="shared" si="4"/>
        <v>9.2975218609066859E-7</v>
      </c>
      <c r="M21" s="57">
        <f t="shared" si="5"/>
        <v>0.1021689499999999</v>
      </c>
      <c r="N21" s="57">
        <f t="shared" si="6"/>
        <v>0.12044990557214966</v>
      </c>
    </row>
    <row r="22" spans="1:14" ht="16.5" thickBot="1" x14ac:dyDescent="0.3">
      <c r="A22" s="40">
        <v>136484</v>
      </c>
      <c r="B22" s="40">
        <f t="shared" si="0"/>
        <v>125835</v>
      </c>
      <c r="C22" s="29">
        <v>0.11378309999999983</v>
      </c>
      <c r="D22" s="29">
        <v>7.9133699999999932E-2</v>
      </c>
      <c r="E22" s="29"/>
      <c r="F22" s="29"/>
      <c r="G22" s="29">
        <v>0.16734261690176516</v>
      </c>
      <c r="H22" s="29"/>
      <c r="I22" s="29">
        <f t="shared" si="1"/>
        <v>1.4707159226788988</v>
      </c>
      <c r="J22" s="29">
        <f t="shared" si="2"/>
        <v>0.65624555647751048</v>
      </c>
      <c r="K22">
        <f t="shared" si="3"/>
        <v>3.1204755614266837E-7</v>
      </c>
      <c r="L22">
        <f t="shared" si="4"/>
        <v>1.6464805697910599E-6</v>
      </c>
      <c r="M22" s="57">
        <f t="shared" si="5"/>
        <v>0.11023979999999983</v>
      </c>
      <c r="N22" s="57">
        <f t="shared" si="6"/>
        <v>0.14864683003178769</v>
      </c>
    </row>
    <row r="23" spans="1:14" ht="16.5" thickBot="1" x14ac:dyDescent="0.3">
      <c r="A23" s="40">
        <v>160030</v>
      </c>
      <c r="B23" s="40">
        <f t="shared" si="0"/>
        <v>149381</v>
      </c>
      <c r="C23" s="29">
        <v>0.12323189999999991</v>
      </c>
      <c r="D23" s="29">
        <v>8.6614000000000121E-2</v>
      </c>
      <c r="E23" s="29"/>
      <c r="F23" s="29"/>
      <c r="G23" s="29">
        <v>0.16918154675782948</v>
      </c>
      <c r="H23" s="29"/>
      <c r="I23" s="29">
        <f t="shared" si="1"/>
        <v>1.3728713649455182</v>
      </c>
      <c r="J23" s="29">
        <f t="shared" si="2"/>
        <v>0.66345704610913525</v>
      </c>
      <c r="K23">
        <f t="shared" si="3"/>
        <v>4.0129108978170717E-7</v>
      </c>
      <c r="L23">
        <f t="shared" si="4"/>
        <v>7.8099458764304758E-8</v>
      </c>
      <c r="M23" s="57">
        <f t="shared" si="5"/>
        <v>0.11850749999999988</v>
      </c>
      <c r="N23" s="57">
        <f t="shared" si="6"/>
        <v>0.16826208182979732</v>
      </c>
    </row>
    <row r="24" spans="1:14" ht="16.5" thickBot="1" x14ac:dyDescent="0.3">
      <c r="A24" s="40">
        <v>200002</v>
      </c>
      <c r="B24" s="40">
        <f t="shared" si="0"/>
        <v>189353</v>
      </c>
      <c r="C24" s="29">
        <v>0.13228700000000007</v>
      </c>
      <c r="D24" s="29">
        <v>0.10157459999999995</v>
      </c>
      <c r="E24" s="29">
        <v>6.062979999999997E-2</v>
      </c>
      <c r="F24" s="29">
        <v>4.7244000000000112E-2</v>
      </c>
      <c r="G24" s="29">
        <v>0.25</v>
      </c>
      <c r="H24" s="29"/>
      <c r="I24" s="29">
        <f t="shared" si="1"/>
        <v>1.8898304444125262</v>
      </c>
      <c r="J24" s="29">
        <f t="shared" si="2"/>
        <v>0.98039215686274506</v>
      </c>
      <c r="K24">
        <f t="shared" si="3"/>
        <v>2.2653607525268096E-7</v>
      </c>
      <c r="L24">
        <f t="shared" si="4"/>
        <v>2.0218766447055569E-6</v>
      </c>
      <c r="M24" s="57">
        <f t="shared" si="5"/>
        <v>0.12775945</v>
      </c>
      <c r="N24" s="57">
        <f t="shared" si="6"/>
        <v>0.20959077337891474</v>
      </c>
    </row>
    <row r="25" spans="1:14" ht="16.5" thickBot="1" x14ac:dyDescent="0.3">
      <c r="A25" s="40">
        <v>249992</v>
      </c>
      <c r="B25" s="40">
        <f t="shared" si="0"/>
        <v>239343</v>
      </c>
      <c r="C25" s="29">
        <v>0.15197200000000005</v>
      </c>
      <c r="D25" s="29">
        <v>0.11732260000000017</v>
      </c>
      <c r="E25" s="29">
        <v>6.4173099999999969E-2</v>
      </c>
      <c r="F25" s="29">
        <v>5.7086499999999978E-2</v>
      </c>
      <c r="G25" s="29"/>
      <c r="H25" s="29"/>
      <c r="I25" s="29"/>
      <c r="J25" s="29"/>
      <c r="K25">
        <f t="shared" si="3"/>
        <v>3.9377875575114983E-7</v>
      </c>
      <c r="M25" s="57">
        <f t="shared" si="5"/>
        <v>0.14212950000000008</v>
      </c>
      <c r="N25" s="57"/>
    </row>
    <row r="26" spans="1:14" ht="16.5" thickBot="1" x14ac:dyDescent="0.3">
      <c r="A26" s="40">
        <v>301577</v>
      </c>
      <c r="B26" s="40">
        <f t="shared" si="0"/>
        <v>290928</v>
      </c>
      <c r="C26" s="29">
        <v>0.16575149999999983</v>
      </c>
      <c r="D26" s="29">
        <v>0.13740130000000009</v>
      </c>
      <c r="E26" s="29">
        <v>7.1259699999999954E-2</v>
      </c>
      <c r="F26" s="29">
        <v>6.8110100000000021E-2</v>
      </c>
      <c r="G26" s="29"/>
      <c r="H26" s="29"/>
      <c r="I26" s="29"/>
      <c r="J26" s="29"/>
      <c r="K26">
        <f t="shared" si="3"/>
        <v>2.6712222545313128E-7</v>
      </c>
      <c r="M26" s="57">
        <f t="shared" si="5"/>
        <v>0.15886174999999994</v>
      </c>
      <c r="N26" s="57"/>
    </row>
    <row r="27" spans="1:14" ht="16.5" thickBot="1" x14ac:dyDescent="0.3">
      <c r="A27" s="40">
        <v>350000</v>
      </c>
      <c r="B27" s="40">
        <f t="shared" si="0"/>
        <v>339351</v>
      </c>
      <c r="C27" s="29">
        <v>0.18779869999999993</v>
      </c>
      <c r="D27" s="29">
        <v>0.1519682</v>
      </c>
      <c r="E27" s="29">
        <v>7.7558900000000097E-2</v>
      </c>
      <c r="F27" s="29">
        <v>7.4409300000000025E-2</v>
      </c>
      <c r="G27" s="29"/>
      <c r="H27" s="29"/>
      <c r="I27" s="29"/>
      <c r="J27" s="29"/>
      <c r="K27">
        <f t="shared" si="3"/>
        <v>4.5530429754455735E-7</v>
      </c>
      <c r="M27" s="57">
        <f t="shared" si="5"/>
        <v>0.17677509999999988</v>
      </c>
      <c r="N27" s="57"/>
    </row>
    <row r="28" spans="1:14" ht="16.5" thickBot="1" x14ac:dyDescent="0.3">
      <c r="A28" s="40">
        <v>400032</v>
      </c>
      <c r="B28" s="40">
        <f t="shared" si="0"/>
        <v>389383</v>
      </c>
      <c r="C28" s="29">
        <v>0.29527880000000012</v>
      </c>
      <c r="D28" s="29">
        <v>0.17440910000000001</v>
      </c>
      <c r="E28" s="29">
        <v>8.2283300000000004E-2</v>
      </c>
      <c r="F28" s="29">
        <v>8.4645499999999943E-2</v>
      </c>
      <c r="G28" s="29"/>
      <c r="H28" s="29"/>
      <c r="I28" s="29"/>
      <c r="J28" s="29"/>
      <c r="K28">
        <f t="shared" si="3"/>
        <v>2.1482271346338381E-6</v>
      </c>
      <c r="M28" s="57">
        <f t="shared" si="5"/>
        <v>0.24153875000000002</v>
      </c>
      <c r="N28" s="57"/>
    </row>
    <row r="29" spans="1:14" ht="16.5" thickBot="1" x14ac:dyDescent="0.3">
      <c r="A29" s="40">
        <v>410066</v>
      </c>
      <c r="B29" s="40">
        <f t="shared" si="0"/>
        <v>399417</v>
      </c>
      <c r="C29" s="29">
        <v>0.43425489999999989</v>
      </c>
      <c r="D29" s="29">
        <v>0.18346420000000016</v>
      </c>
      <c r="E29" s="29">
        <v>8.3858100000000102E-2</v>
      </c>
      <c r="F29" s="29">
        <v>8.4645499999999943E-2</v>
      </c>
      <c r="G29" s="29"/>
      <c r="H29" s="29"/>
      <c r="I29" s="29"/>
      <c r="J29" s="29"/>
      <c r="K29">
        <f t="shared" si="3"/>
        <v>1.3850518237990808E-5</v>
      </c>
      <c r="M29" s="57">
        <f t="shared" si="5"/>
        <v>0.36476684999999998</v>
      </c>
      <c r="N29" s="57"/>
    </row>
    <row r="30" spans="1:14" ht="16.5" thickBot="1" x14ac:dyDescent="0.3">
      <c r="A30" s="40">
        <v>415020</v>
      </c>
      <c r="B30" s="40">
        <f t="shared" si="0"/>
        <v>404371</v>
      </c>
      <c r="C30" s="29">
        <v>0.73976610000000009</v>
      </c>
      <c r="D30" s="29">
        <v>0.20944840000000003</v>
      </c>
      <c r="E30" s="29">
        <v>0.73936860000000004</v>
      </c>
      <c r="F30" s="29">
        <v>9.3306900000000179E-2</v>
      </c>
      <c r="G30" s="29"/>
      <c r="H30" s="29"/>
      <c r="I30" s="29"/>
      <c r="J30" s="29"/>
      <c r="K30">
        <f t="shared" si="3"/>
        <v>6.1669600322971382E-5</v>
      </c>
      <c r="M30" s="57">
        <f t="shared" si="5"/>
        <v>0.58701049999999999</v>
      </c>
      <c r="N30" s="57"/>
    </row>
    <row r="31" spans="1:14" ht="16.5" thickBot="1" x14ac:dyDescent="0.3">
      <c r="A31" s="40">
        <v>415770</v>
      </c>
      <c r="B31" s="40">
        <f t="shared" si="0"/>
        <v>405121</v>
      </c>
      <c r="C31" s="29"/>
      <c r="D31" s="29"/>
      <c r="E31" s="29"/>
      <c r="F31" s="29"/>
      <c r="G31" s="29"/>
      <c r="H31" s="29"/>
      <c r="I31" s="29"/>
      <c r="J31" s="29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0:N37"/>
  <sheetViews>
    <sheetView zoomScale="70" zoomScaleNormal="70" workbookViewId="0">
      <selection activeCell="K11" sqref="K11:N14"/>
    </sheetView>
  </sheetViews>
  <sheetFormatPr defaultRowHeight="15" x14ac:dyDescent="0.25"/>
  <cols>
    <col min="1" max="1" width="12.7109375" bestFit="1" customWidth="1"/>
    <col min="2" max="2" width="10.5703125" customWidth="1"/>
    <col min="8" max="8" width="21.140625" customWidth="1"/>
    <col min="11" max="11" width="13.5703125" bestFit="1" customWidth="1"/>
  </cols>
  <sheetData>
    <row r="10" spans="1:14" ht="48.6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90" t="s">
        <v>25</v>
      </c>
      <c r="J11" s="90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90"/>
      <c r="J12" s="90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90"/>
      <c r="J13" s="90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90"/>
      <c r="J14" s="90"/>
      <c r="K14" s="90"/>
      <c r="L14" s="90"/>
      <c r="M14" s="90"/>
      <c r="N14" s="90"/>
    </row>
    <row r="15" spans="1:14" ht="16.5" thickBot="1" x14ac:dyDescent="0.3">
      <c r="A15" s="40">
        <v>0</v>
      </c>
      <c r="B15" s="40">
        <f>A15-10273</f>
        <v>-10273</v>
      </c>
      <c r="C15" s="29">
        <v>3.1098300000000134E-2</v>
      </c>
      <c r="D15" s="29"/>
      <c r="E15" s="29"/>
      <c r="F15" s="29"/>
      <c r="G15" s="29">
        <v>3.0109399998936213E-2</v>
      </c>
      <c r="H15" s="29"/>
      <c r="I15" s="39">
        <f t="shared" ref="I15:I22" si="0">G15/C15</f>
        <v>0.96820083409498536</v>
      </c>
      <c r="J15" s="39">
        <f t="shared" ref="J15:J22" si="1">G15/0.254</f>
        <v>0.11854094487770163</v>
      </c>
    </row>
    <row r="16" spans="1:14" ht="16.5" thickBot="1" x14ac:dyDescent="0.3">
      <c r="A16" s="22">
        <f>A17-((A17-A15)*(C17-C16)/(C17-C15))</f>
        <v>10273.441544489584</v>
      </c>
      <c r="B16" s="43">
        <v>0</v>
      </c>
      <c r="C16" s="41">
        <v>0.05</v>
      </c>
      <c r="D16" s="41"/>
      <c r="E16" s="41"/>
      <c r="F16" s="41"/>
      <c r="G16" s="41">
        <f>C16*0.98</f>
        <v>4.9000000000000002E-2</v>
      </c>
      <c r="H16" s="41"/>
      <c r="I16" s="42">
        <f t="shared" si="0"/>
        <v>0.98</v>
      </c>
      <c r="J16" s="42">
        <f t="shared" si="1"/>
        <v>0.19291338582677167</v>
      </c>
      <c r="M16" s="57"/>
      <c r="N16" s="57"/>
    </row>
    <row r="17" spans="1:14" ht="16.5" thickBot="1" x14ac:dyDescent="0.3">
      <c r="A17" s="40">
        <v>13053</v>
      </c>
      <c r="B17" s="40">
        <f t="shared" ref="B17:B37" si="2">A17-10273</f>
        <v>2780</v>
      </c>
      <c r="C17" s="29">
        <v>5.5114000000000114E-2</v>
      </c>
      <c r="D17" s="29"/>
      <c r="E17" s="29"/>
      <c r="F17" s="29"/>
      <c r="G17" s="29">
        <v>5.4042512818603596E-2</v>
      </c>
      <c r="H17" s="29"/>
      <c r="I17" s="39">
        <f t="shared" si="0"/>
        <v>0.98055871137285411</v>
      </c>
      <c r="J17" s="39">
        <f t="shared" si="1"/>
        <v>0.21276579849843935</v>
      </c>
      <c r="K17">
        <f t="shared" ref="K17:K25" si="3">(C17-C16)/(B17-B16)</f>
        <v>1.8395683453237811E-6</v>
      </c>
      <c r="L17">
        <f t="shared" ref="L17:L23" si="4">(G17-G16)/(B17-B16)</f>
        <v>1.8138535318717962E-6</v>
      </c>
      <c r="M17" s="57">
        <f>AVERAGE(C16:C17)</f>
        <v>5.2557000000000062E-2</v>
      </c>
      <c r="N17" s="57">
        <f>AVERAGE(G16:G17)</f>
        <v>5.1521256409301802E-2</v>
      </c>
    </row>
    <row r="18" spans="1:14" ht="16.5" thickBot="1" x14ac:dyDescent="0.3">
      <c r="A18" s="40">
        <v>20783</v>
      </c>
      <c r="B18" s="40">
        <f t="shared" si="2"/>
        <v>10510</v>
      </c>
      <c r="C18" s="29">
        <v>6.8893499999999885E-2</v>
      </c>
      <c r="D18" s="29"/>
      <c r="E18" s="29"/>
      <c r="F18" s="29"/>
      <c r="G18" s="29">
        <v>6.330694358750738E-2</v>
      </c>
      <c r="H18" s="29"/>
      <c r="I18" s="39">
        <f t="shared" si="0"/>
        <v>0.91891025405165194</v>
      </c>
      <c r="J18" s="39">
        <f t="shared" si="1"/>
        <v>0.24923993538388733</v>
      </c>
      <c r="K18">
        <f t="shared" si="3"/>
        <v>1.7826002587321825E-6</v>
      </c>
      <c r="L18">
        <f t="shared" si="4"/>
        <v>1.1985033336227407E-6</v>
      </c>
      <c r="M18" s="57">
        <f t="shared" ref="M18:M35" si="5">AVERAGE(C17:C18)</f>
        <v>6.2003749999999996E-2</v>
      </c>
      <c r="N18" s="57">
        <f t="shared" ref="N18:N23" si="6">AVERAGE(G17:G18)</f>
        <v>5.8674728203055485E-2</v>
      </c>
    </row>
    <row r="19" spans="1:14" ht="16.5" thickBot="1" x14ac:dyDescent="0.3">
      <c r="A19" s="40">
        <v>67991</v>
      </c>
      <c r="B19" s="40">
        <f t="shared" si="2"/>
        <v>57718</v>
      </c>
      <c r="C19" s="29">
        <v>8.5035199999999755E-2</v>
      </c>
      <c r="D19" s="29">
        <v>3.7795199999999758E-2</v>
      </c>
      <c r="E19" s="29"/>
      <c r="F19" s="29"/>
      <c r="G19" s="29">
        <v>9.1872271791625562E-2</v>
      </c>
      <c r="H19" s="29"/>
      <c r="I19" s="39">
        <f t="shared" si="0"/>
        <v>1.0804028424890613</v>
      </c>
      <c r="J19" s="39">
        <f t="shared" si="1"/>
        <v>0.36170185744734473</v>
      </c>
      <c r="K19">
        <f t="shared" si="3"/>
        <v>3.4192721572614536E-7</v>
      </c>
      <c r="L19">
        <f t="shared" si="4"/>
        <v>6.0509507295624011E-7</v>
      </c>
      <c r="M19" s="57">
        <f t="shared" si="5"/>
        <v>7.696434999999982E-2</v>
      </c>
      <c r="N19" s="57">
        <f t="shared" si="6"/>
        <v>7.7589607689566464E-2</v>
      </c>
    </row>
    <row r="20" spans="1:14" ht="16.5" thickBot="1" x14ac:dyDescent="0.3">
      <c r="A20" s="40">
        <v>85317</v>
      </c>
      <c r="B20" s="40">
        <f t="shared" si="2"/>
        <v>75044</v>
      </c>
      <c r="C20" s="29">
        <v>9.7239899999999851E-2</v>
      </c>
      <c r="D20" s="29">
        <v>5.2362099999999939E-2</v>
      </c>
      <c r="E20" s="29"/>
      <c r="F20" s="29"/>
      <c r="G20" s="29">
        <v>0.10731298973979818</v>
      </c>
      <c r="H20" s="29"/>
      <c r="I20" s="39">
        <f t="shared" si="0"/>
        <v>1.1035900874003197</v>
      </c>
      <c r="J20" s="39">
        <f t="shared" si="1"/>
        <v>0.42249208558975659</v>
      </c>
      <c r="K20">
        <f t="shared" si="3"/>
        <v>7.0441532956251278E-7</v>
      </c>
      <c r="L20">
        <f t="shared" si="4"/>
        <v>8.9118769180264436E-7</v>
      </c>
      <c r="M20" s="57">
        <f t="shared" si="5"/>
        <v>9.1137549999999803E-2</v>
      </c>
      <c r="N20" s="57">
        <f t="shared" si="6"/>
        <v>9.959263076571187E-2</v>
      </c>
    </row>
    <row r="21" spans="1:14" ht="16.5" thickBot="1" x14ac:dyDescent="0.3">
      <c r="A21" s="40">
        <v>121487</v>
      </c>
      <c r="B21" s="40">
        <f t="shared" si="2"/>
        <v>111214</v>
      </c>
      <c r="C21" s="29">
        <v>0.10944459999999995</v>
      </c>
      <c r="D21" s="29">
        <v>7.3228199999999979E-2</v>
      </c>
      <c r="E21" s="29"/>
      <c r="F21" s="29"/>
      <c r="G21" s="29">
        <v>0.16212753845581077</v>
      </c>
      <c r="H21" s="29"/>
      <c r="I21" s="39">
        <f t="shared" si="0"/>
        <v>1.4813662661822589</v>
      </c>
      <c r="J21" s="39">
        <f t="shared" si="1"/>
        <v>0.63829739549531794</v>
      </c>
      <c r="K21">
        <f t="shared" si="3"/>
        <v>3.3742604368261254E-7</v>
      </c>
      <c r="L21">
        <f t="shared" si="4"/>
        <v>1.5154699672660377E-6</v>
      </c>
      <c r="M21" s="57">
        <f t="shared" si="5"/>
        <v>0.1033422499999999</v>
      </c>
      <c r="N21" s="57">
        <f t="shared" si="6"/>
        <v>0.13472026409780447</v>
      </c>
    </row>
    <row r="22" spans="1:14" ht="16.5" thickBot="1" x14ac:dyDescent="0.3">
      <c r="A22" s="40">
        <v>159072</v>
      </c>
      <c r="B22" s="40">
        <f t="shared" si="2"/>
        <v>148799</v>
      </c>
      <c r="C22" s="29">
        <v>0.12361779999999992</v>
      </c>
      <c r="D22" s="29">
        <v>8.5432900000000075E-2</v>
      </c>
      <c r="E22" s="29">
        <v>2.4803100000000102E-2</v>
      </c>
      <c r="F22" s="29">
        <v>2.5984200000000148E-2</v>
      </c>
      <c r="G22" s="29">
        <v>0.25</v>
      </c>
      <c r="H22" s="29"/>
      <c r="I22" s="29">
        <f t="shared" si="0"/>
        <v>2.0223624753069553</v>
      </c>
      <c r="J22" s="29">
        <f t="shared" si="1"/>
        <v>0.98425196850393704</v>
      </c>
      <c r="K22">
        <f t="shared" si="3"/>
        <v>3.7709724624185096E-7</v>
      </c>
      <c r="L22">
        <f t="shared" si="4"/>
        <v>2.3379662510094249E-6</v>
      </c>
      <c r="M22" s="57">
        <f t="shared" si="5"/>
        <v>0.11653119999999993</v>
      </c>
      <c r="N22" s="57">
        <f t="shared" si="6"/>
        <v>0.20606376922790537</v>
      </c>
    </row>
    <row r="23" spans="1:14" ht="16.5" thickBot="1" x14ac:dyDescent="0.3">
      <c r="A23" s="40">
        <v>225008</v>
      </c>
      <c r="B23" s="40">
        <f t="shared" si="2"/>
        <v>214735</v>
      </c>
      <c r="C23" s="29">
        <v>0.13897209999999993</v>
      </c>
      <c r="D23" s="29">
        <v>0.10433049999999995</v>
      </c>
      <c r="E23" s="29">
        <v>5.9055000000000003E-2</v>
      </c>
      <c r="F23" s="29">
        <v>4.7244000000000112E-2</v>
      </c>
      <c r="G23" s="29"/>
      <c r="H23" s="29"/>
      <c r="I23" s="29"/>
      <c r="J23" s="29"/>
      <c r="K23">
        <f t="shared" si="3"/>
        <v>2.3286671924290245E-7</v>
      </c>
      <c r="L23">
        <f t="shared" si="4"/>
        <v>-3.7915554477068673E-6</v>
      </c>
      <c r="M23" s="57">
        <f t="shared" si="5"/>
        <v>0.13129494999999991</v>
      </c>
      <c r="N23" s="57">
        <f t="shared" si="6"/>
        <v>0.25</v>
      </c>
    </row>
    <row r="24" spans="1:14" ht="16.5" thickBot="1" x14ac:dyDescent="0.3">
      <c r="A24" s="40">
        <v>278239</v>
      </c>
      <c r="B24" s="40">
        <f t="shared" si="2"/>
        <v>267966</v>
      </c>
      <c r="C24" s="29">
        <v>0.15275160000000026</v>
      </c>
      <c r="D24" s="29">
        <v>0.11811000000000001</v>
      </c>
      <c r="E24" s="29">
        <v>6.7322700000000041E-2</v>
      </c>
      <c r="F24" s="29">
        <v>5.1968400000000012E-2</v>
      </c>
      <c r="G24" s="29"/>
      <c r="H24" s="29"/>
      <c r="I24" s="29"/>
      <c r="J24" s="29"/>
      <c r="K24">
        <f t="shared" si="3"/>
        <v>2.5886231707088603E-7</v>
      </c>
      <c r="M24" s="57">
        <f t="shared" si="5"/>
        <v>0.1458618500000001</v>
      </c>
      <c r="N24" s="57"/>
    </row>
    <row r="25" spans="1:14" ht="16.5" thickBot="1" x14ac:dyDescent="0.3">
      <c r="A25" s="40">
        <v>330814</v>
      </c>
      <c r="B25" s="40">
        <f t="shared" si="2"/>
        <v>320541</v>
      </c>
      <c r="C25" s="29">
        <v>0.16653110000000004</v>
      </c>
      <c r="D25" s="29">
        <v>0.13188949999999977</v>
      </c>
      <c r="E25" s="29">
        <v>7.5590400000000071E-2</v>
      </c>
      <c r="F25" s="29">
        <v>6.3385699999999975E-2</v>
      </c>
      <c r="G25" s="29"/>
      <c r="H25" s="29"/>
      <c r="I25" s="29"/>
      <c r="J25" s="29"/>
      <c r="K25">
        <f t="shared" si="3"/>
        <v>2.6209224916785122E-7</v>
      </c>
      <c r="M25" s="57">
        <f t="shared" si="5"/>
        <v>0.15964135000000015</v>
      </c>
      <c r="N25" s="57"/>
    </row>
    <row r="26" spans="1:14" ht="16.5" thickBot="1" x14ac:dyDescent="0.3">
      <c r="A26" s="40">
        <v>367003</v>
      </c>
      <c r="B26" s="40">
        <f t="shared" si="2"/>
        <v>356730</v>
      </c>
      <c r="C26" s="29">
        <v>0.18109799999999968</v>
      </c>
      <c r="D26" s="29">
        <v>0.1429131000000001</v>
      </c>
      <c r="E26" s="29">
        <v>7.7952599999999886E-2</v>
      </c>
      <c r="F26" s="29">
        <v>6.88975E-2</v>
      </c>
      <c r="G26" s="29"/>
      <c r="H26" s="29"/>
      <c r="I26" s="29"/>
      <c r="J26" s="29"/>
      <c r="K26">
        <f t="shared" ref="K26:K35" si="7">(C26-C25)/(B26-B25)</f>
        <v>4.0252286606426354E-7</v>
      </c>
      <c r="M26" s="57">
        <f t="shared" si="5"/>
        <v>0.17381454999999985</v>
      </c>
      <c r="N26" s="57"/>
    </row>
    <row r="27" spans="1:14" ht="16.5" thickBot="1" x14ac:dyDescent="0.3">
      <c r="A27" s="40">
        <v>399305</v>
      </c>
      <c r="B27" s="40">
        <f t="shared" si="2"/>
        <v>389032</v>
      </c>
      <c r="C27" s="29">
        <v>0.19881450000000034</v>
      </c>
      <c r="D27" s="29">
        <v>0.15354299999999996</v>
      </c>
      <c r="E27" s="29">
        <v>8.6613999999999844E-2</v>
      </c>
      <c r="F27" s="29">
        <v>7.0865999999999887E-2</v>
      </c>
      <c r="G27" s="29"/>
      <c r="H27" s="29"/>
      <c r="I27" s="29"/>
      <c r="J27" s="29"/>
      <c r="K27">
        <f t="shared" si="7"/>
        <v>5.4846449136278438E-7</v>
      </c>
      <c r="M27" s="57">
        <f t="shared" si="5"/>
        <v>0.18995624999999999</v>
      </c>
      <c r="N27" s="57"/>
    </row>
    <row r="28" spans="1:14" ht="16.5" thickBot="1" x14ac:dyDescent="0.3">
      <c r="A28" s="40">
        <v>419904</v>
      </c>
      <c r="B28" s="40">
        <f t="shared" si="2"/>
        <v>409631</v>
      </c>
      <c r="C28" s="29">
        <v>0.22361760000000017</v>
      </c>
      <c r="D28" s="29">
        <v>0.15866110000000005</v>
      </c>
      <c r="E28" s="29">
        <v>8.8582500000000008E-2</v>
      </c>
      <c r="F28" s="29">
        <v>7.2834500000000066E-2</v>
      </c>
      <c r="G28" s="29"/>
      <c r="H28" s="29"/>
      <c r="I28" s="29"/>
      <c r="J28" s="29"/>
      <c r="K28">
        <f t="shared" si="7"/>
        <v>1.204092431671432E-6</v>
      </c>
      <c r="M28" s="57">
        <f t="shared" si="5"/>
        <v>0.21121605000000027</v>
      </c>
      <c r="N28" s="57"/>
    </row>
    <row r="29" spans="1:14" ht="16.5" thickBot="1" x14ac:dyDescent="0.3">
      <c r="A29" s="40">
        <v>434611</v>
      </c>
      <c r="B29" s="40">
        <f t="shared" si="2"/>
        <v>424338</v>
      </c>
      <c r="C29" s="29">
        <v>0.24015300000000023</v>
      </c>
      <c r="D29" s="29">
        <v>0.16614139999999997</v>
      </c>
      <c r="E29" s="29">
        <v>8.8976199999999922E-2</v>
      </c>
      <c r="F29" s="29">
        <v>7.6771500000000117E-2</v>
      </c>
      <c r="G29" s="29"/>
      <c r="H29" s="29"/>
      <c r="I29" s="29"/>
      <c r="J29" s="29"/>
      <c r="K29">
        <f t="shared" si="7"/>
        <v>1.1243217515468866E-6</v>
      </c>
      <c r="M29" s="57">
        <f t="shared" si="5"/>
        <v>0.23188530000000018</v>
      </c>
      <c r="N29" s="57"/>
    </row>
    <row r="30" spans="1:14" ht="16.5" thickBot="1" x14ac:dyDescent="0.3">
      <c r="A30" s="40">
        <v>447221</v>
      </c>
      <c r="B30" s="40">
        <f t="shared" si="2"/>
        <v>436948</v>
      </c>
      <c r="C30" s="29">
        <v>0.27283010000000019</v>
      </c>
      <c r="D30" s="29">
        <v>0.16968469999999983</v>
      </c>
      <c r="E30" s="29">
        <v>9.4094299999999742E-2</v>
      </c>
      <c r="F30" s="29">
        <v>7.7165200000000031E-2</v>
      </c>
      <c r="G30" s="29"/>
      <c r="H30" s="29"/>
      <c r="I30" s="29"/>
      <c r="J30" s="29"/>
      <c r="K30">
        <f t="shared" si="7"/>
        <v>2.5913639968279109E-6</v>
      </c>
      <c r="M30" s="57">
        <f t="shared" si="5"/>
        <v>0.25649155000000023</v>
      </c>
      <c r="N30" s="57"/>
    </row>
    <row r="31" spans="1:14" ht="16.5" thickBot="1" x14ac:dyDescent="0.3">
      <c r="A31" s="40">
        <v>454319</v>
      </c>
      <c r="B31" s="40">
        <f t="shared" si="2"/>
        <v>444046</v>
      </c>
      <c r="C31" s="29">
        <v>0.30550720000000009</v>
      </c>
      <c r="D31" s="29">
        <v>0.17440910000000001</v>
      </c>
      <c r="E31" s="29">
        <v>9.8425000000000012E-2</v>
      </c>
      <c r="F31" s="29">
        <v>7.7558899999999958E-2</v>
      </c>
      <c r="G31" s="29"/>
      <c r="H31" s="29"/>
      <c r="I31" s="29"/>
      <c r="J31" s="29"/>
      <c r="K31">
        <f t="shared" si="7"/>
        <v>4.6037052690898711E-6</v>
      </c>
      <c r="M31" s="57">
        <f t="shared" si="5"/>
        <v>0.28916865000000014</v>
      </c>
    </row>
    <row r="32" spans="1:14" ht="16.5" thickBot="1" x14ac:dyDescent="0.3">
      <c r="A32" s="40">
        <v>459234</v>
      </c>
      <c r="B32" s="40">
        <f t="shared" si="2"/>
        <v>448961</v>
      </c>
      <c r="C32" s="29">
        <v>0.3539322999999997</v>
      </c>
      <c r="D32" s="29">
        <v>0.1748028000000002</v>
      </c>
      <c r="E32" s="29">
        <v>0.10393680000000002</v>
      </c>
      <c r="F32" s="29">
        <v>8.0708499999999891E-2</v>
      </c>
      <c r="G32" s="29"/>
      <c r="H32" s="29"/>
      <c r="I32" s="29"/>
      <c r="J32" s="29"/>
      <c r="K32">
        <f t="shared" si="7"/>
        <v>9.8525127161748954E-6</v>
      </c>
      <c r="M32" s="57">
        <f t="shared" si="5"/>
        <v>0.32971974999999987</v>
      </c>
    </row>
    <row r="33" spans="1:13" ht="16.5" thickBot="1" x14ac:dyDescent="0.3">
      <c r="A33" s="40">
        <v>462320</v>
      </c>
      <c r="B33" s="40">
        <f t="shared" si="2"/>
        <v>452047</v>
      </c>
      <c r="C33" s="29">
        <v>0.40432589999999974</v>
      </c>
      <c r="D33" s="29">
        <v>0.17598389999999997</v>
      </c>
      <c r="E33" s="29">
        <v>0.10393680000000002</v>
      </c>
      <c r="F33" s="29">
        <v>8.0708499999999891E-2</v>
      </c>
      <c r="G33" s="29"/>
      <c r="H33" s="29"/>
      <c r="I33" s="29"/>
      <c r="J33" s="29"/>
      <c r="K33">
        <f t="shared" si="7"/>
        <v>1.6329747245625419E-5</v>
      </c>
      <c r="M33" s="57">
        <f t="shared" si="5"/>
        <v>0.37912909999999972</v>
      </c>
    </row>
    <row r="34" spans="1:13" ht="16.5" thickBot="1" x14ac:dyDescent="0.3">
      <c r="A34" s="40">
        <v>465253</v>
      </c>
      <c r="B34" s="40">
        <f t="shared" si="2"/>
        <v>454980</v>
      </c>
      <c r="C34" s="29">
        <v>0.4799162999999998</v>
      </c>
      <c r="D34" s="29">
        <v>0.18464530000000021</v>
      </c>
      <c r="E34" s="29">
        <v>0.10393680000000002</v>
      </c>
      <c r="F34" s="29">
        <v>8.0708499999999891E-2</v>
      </c>
      <c r="G34" s="29"/>
      <c r="H34" s="29"/>
      <c r="I34" s="29"/>
      <c r="J34" s="29"/>
      <c r="K34">
        <f t="shared" si="7"/>
        <v>2.5772383225366537E-5</v>
      </c>
      <c r="M34" s="57">
        <f t="shared" si="5"/>
        <v>0.44212109999999977</v>
      </c>
    </row>
    <row r="35" spans="1:13" ht="16.5" thickBot="1" x14ac:dyDescent="0.3">
      <c r="A35" s="40">
        <v>467099</v>
      </c>
      <c r="B35" s="40">
        <f t="shared" si="2"/>
        <v>456826</v>
      </c>
      <c r="C35" s="29">
        <v>0.56259329999999963</v>
      </c>
      <c r="D35" s="29">
        <v>0.18818860000000007</v>
      </c>
      <c r="E35" s="29">
        <v>0.22637750000000001</v>
      </c>
      <c r="F35" s="29">
        <v>8.6614000000000121E-2</v>
      </c>
      <c r="G35" s="29"/>
      <c r="H35" s="29"/>
      <c r="I35" s="29"/>
      <c r="J35" s="29"/>
      <c r="K35">
        <f t="shared" si="7"/>
        <v>4.4787107258938158E-5</v>
      </c>
      <c r="M35" s="57">
        <f t="shared" si="5"/>
        <v>0.52125479999999969</v>
      </c>
    </row>
    <row r="36" spans="1:13" ht="16.5" thickBot="1" x14ac:dyDescent="0.3">
      <c r="A36" s="40">
        <v>468225</v>
      </c>
      <c r="B36" s="40">
        <f t="shared" si="2"/>
        <v>457952</v>
      </c>
      <c r="C36" s="29">
        <v>0.65393169999999989</v>
      </c>
      <c r="D36" s="29">
        <v>0.19566889999999998</v>
      </c>
      <c r="E36" s="29">
        <v>0.57795160000000012</v>
      </c>
      <c r="F36" s="29">
        <v>9.763759999999988E-2</v>
      </c>
      <c r="G36" s="29"/>
      <c r="H36" s="29"/>
      <c r="I36" s="29"/>
      <c r="J36" s="29"/>
      <c r="K36">
        <f>(C36-C35)/(B36-B35)</f>
        <v>8.1117584369449615E-5</v>
      </c>
      <c r="M36" s="57">
        <f>AVERAGE(C35:C36)</f>
        <v>0.60826249999999971</v>
      </c>
    </row>
    <row r="37" spans="1:13" ht="16.5" thickBot="1" x14ac:dyDescent="0.3">
      <c r="A37" s="40">
        <v>469000</v>
      </c>
      <c r="B37" s="40">
        <f t="shared" si="2"/>
        <v>458727</v>
      </c>
      <c r="C37" s="29"/>
      <c r="D37" s="29"/>
      <c r="E37" s="29"/>
      <c r="F37" s="29"/>
      <c r="G37" s="29"/>
      <c r="H37" s="29"/>
      <c r="I37" s="29"/>
      <c r="J37" s="29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0:N37"/>
  <sheetViews>
    <sheetView zoomScale="70" zoomScaleNormal="70" workbookViewId="0">
      <selection activeCell="K11" sqref="K11:N14"/>
    </sheetView>
  </sheetViews>
  <sheetFormatPr defaultRowHeight="15" x14ac:dyDescent="0.25"/>
  <cols>
    <col min="1" max="1" width="12.7109375" bestFit="1" customWidth="1"/>
    <col min="2" max="2" width="10.5703125" customWidth="1"/>
    <col min="8" max="8" width="21.140625" customWidth="1"/>
    <col min="11" max="11" width="14.85546875" bestFit="1" customWidth="1"/>
  </cols>
  <sheetData>
    <row r="10" spans="1:14" ht="53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90" t="s">
        <v>25</v>
      </c>
      <c r="J11" s="90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90"/>
      <c r="J12" s="90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90"/>
      <c r="J13" s="90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90"/>
      <c r="J14" s="90"/>
      <c r="K14" s="90"/>
      <c r="L14" s="90"/>
      <c r="M14" s="90"/>
      <c r="N14" s="90"/>
    </row>
    <row r="15" spans="1:14" ht="16.5" thickBot="1" x14ac:dyDescent="0.3">
      <c r="A15" s="40">
        <v>0</v>
      </c>
      <c r="B15" s="40">
        <f>A15-19412</f>
        <v>-19412</v>
      </c>
      <c r="C15" s="29">
        <v>2.5985800000000135E-2</v>
      </c>
      <c r="D15" s="29"/>
      <c r="E15" s="29"/>
      <c r="F15" s="29"/>
      <c r="G15" s="29">
        <v>2.6774909115822938E-2</v>
      </c>
      <c r="H15" s="29"/>
      <c r="I15" s="29">
        <f>G15/C15</f>
        <v>1.030366935627258</v>
      </c>
      <c r="J15" s="29">
        <f>G15/0.254</f>
        <v>0.10541302801505094</v>
      </c>
    </row>
    <row r="16" spans="1:14" ht="16.5" thickBot="1" x14ac:dyDescent="0.3">
      <c r="A16" s="40">
        <v>7222</v>
      </c>
      <c r="B16" s="40">
        <f t="shared" ref="B16:B36" si="0">A16-19412</f>
        <v>-12190</v>
      </c>
      <c r="C16" s="29">
        <v>3.8977900000000065E-2</v>
      </c>
      <c r="D16" s="29"/>
      <c r="E16" s="29"/>
      <c r="F16" s="29"/>
      <c r="G16" s="29">
        <v>2.7498555308141812E-2</v>
      </c>
      <c r="H16" s="29"/>
      <c r="I16" s="29">
        <f t="shared" ref="I16:I22" si="1">G16/C16</f>
        <v>0.70549093994652778</v>
      </c>
      <c r="J16" s="29">
        <f t="shared" ref="J16:J22" si="2">G16/0.254</f>
        <v>0.10826202877221186</v>
      </c>
    </row>
    <row r="17" spans="1:14" ht="16.5" thickBot="1" x14ac:dyDescent="0.3">
      <c r="A17" s="43">
        <v>19412</v>
      </c>
      <c r="B17" s="43">
        <v>0</v>
      </c>
      <c r="C17" s="41">
        <v>5.0001500000000115E-2</v>
      </c>
      <c r="D17" s="41"/>
      <c r="E17" s="41"/>
      <c r="F17" s="41"/>
      <c r="G17" s="41">
        <v>4.920794107772853E-2</v>
      </c>
      <c r="H17" s="41"/>
      <c r="I17" s="41">
        <f t="shared" si="1"/>
        <v>0.98412929767563806</v>
      </c>
      <c r="J17" s="41">
        <f t="shared" si="2"/>
        <v>0.19373205148712019</v>
      </c>
      <c r="M17" s="57"/>
      <c r="N17" s="57"/>
    </row>
    <row r="18" spans="1:14" ht="16.5" thickBot="1" x14ac:dyDescent="0.3">
      <c r="A18" s="40">
        <v>35814</v>
      </c>
      <c r="B18" s="40">
        <f t="shared" si="0"/>
        <v>16402</v>
      </c>
      <c r="C18" s="29">
        <v>6.1025099999999603E-2</v>
      </c>
      <c r="D18" s="29"/>
      <c r="E18" s="29"/>
      <c r="F18" s="29"/>
      <c r="G18" s="29">
        <v>5.8615341577881064E-2</v>
      </c>
      <c r="H18" s="29"/>
      <c r="I18" s="29">
        <f t="shared" si="1"/>
        <v>0.9605120119079108</v>
      </c>
      <c r="J18" s="29">
        <f t="shared" si="2"/>
        <v>0.23076906133024042</v>
      </c>
      <c r="K18">
        <f t="shared" ref="K18:K26" si="3">(C18-C17)/(B18-B17)</f>
        <v>6.7208876966220508E-7</v>
      </c>
      <c r="L18">
        <f>(G18-G17)/(B18-B17)</f>
        <v>5.7355203634633173E-7</v>
      </c>
      <c r="M18" s="57">
        <f>AVERAGE(C17:C18)</f>
        <v>5.5513299999999863E-2</v>
      </c>
      <c r="N18" s="57">
        <f>AVERAGE(G17:G18)</f>
        <v>5.3911641327804793E-2</v>
      </c>
    </row>
    <row r="19" spans="1:14" ht="16.5" thickBot="1" x14ac:dyDescent="0.3">
      <c r="A19" s="40">
        <v>64814</v>
      </c>
      <c r="B19" s="40">
        <f t="shared" si="0"/>
        <v>45402</v>
      </c>
      <c r="C19" s="29">
        <v>7.4410899999999738E-2</v>
      </c>
      <c r="D19" s="29">
        <v>2.9527500000000002E-2</v>
      </c>
      <c r="E19" s="29"/>
      <c r="F19" s="29"/>
      <c r="G19" s="29">
        <v>7.0193680654994317E-2</v>
      </c>
      <c r="H19" s="29"/>
      <c r="I19" s="29">
        <f t="shared" si="1"/>
        <v>0.94332524744351387</v>
      </c>
      <c r="J19" s="29">
        <f t="shared" si="2"/>
        <v>0.27635307344485949</v>
      </c>
      <c r="K19">
        <f t="shared" si="3"/>
        <v>4.6157931034483227E-7</v>
      </c>
      <c r="L19">
        <f>(G19-G18)/(B19-B18)</f>
        <v>3.9925307162459495E-7</v>
      </c>
      <c r="M19" s="57">
        <f t="shared" ref="M19:M34" si="4">AVERAGE(C18:C19)</f>
        <v>6.7717999999999667E-2</v>
      </c>
      <c r="N19" s="57">
        <f t="shared" ref="N19:N22" si="5">AVERAGE(G18:G19)</f>
        <v>6.440451111643769E-2</v>
      </c>
    </row>
    <row r="20" spans="1:14" ht="16.5" thickBot="1" x14ac:dyDescent="0.3">
      <c r="A20" s="40">
        <v>95301</v>
      </c>
      <c r="B20" s="40">
        <f t="shared" si="0"/>
        <v>75889</v>
      </c>
      <c r="C20" s="29">
        <v>8.2284899999999842E-2</v>
      </c>
      <c r="D20" s="29">
        <v>4.4488099999999822E-2</v>
      </c>
      <c r="E20" s="29"/>
      <c r="F20" s="29"/>
      <c r="G20" s="29">
        <v>0.15124205419478201</v>
      </c>
      <c r="H20" s="29"/>
      <c r="I20" s="29">
        <f t="shared" si="1"/>
        <v>1.8380292641150722</v>
      </c>
      <c r="J20" s="29">
        <f t="shared" si="2"/>
        <v>0.59544115824717325</v>
      </c>
      <c r="K20">
        <f t="shared" si="3"/>
        <v>2.5827401843409005E-7</v>
      </c>
      <c r="L20">
        <f>(G20-G19)/(B20-B19)</f>
        <v>2.6584568353654899E-6</v>
      </c>
      <c r="M20" s="57">
        <f t="shared" si="4"/>
        <v>7.834789999999979E-2</v>
      </c>
      <c r="N20" s="57">
        <f t="shared" si="5"/>
        <v>0.11071786742488816</v>
      </c>
    </row>
    <row r="21" spans="1:14" ht="16.5" thickBot="1" x14ac:dyDescent="0.3">
      <c r="A21" s="40">
        <v>132283</v>
      </c>
      <c r="B21" s="40">
        <f t="shared" si="0"/>
        <v>112871</v>
      </c>
      <c r="C21" s="29">
        <v>9.2914799999999687E-2</v>
      </c>
      <c r="D21" s="29">
        <v>6.3385699999999975E-2</v>
      </c>
      <c r="E21" s="29"/>
      <c r="F21" s="29"/>
      <c r="G21" s="29">
        <v>0.15775486992565801</v>
      </c>
      <c r="H21" s="29"/>
      <c r="I21" s="29">
        <f t="shared" si="1"/>
        <v>1.6978443684500053</v>
      </c>
      <c r="J21" s="29">
        <f t="shared" si="2"/>
        <v>0.62108216506164571</v>
      </c>
      <c r="K21">
        <f t="shared" si="3"/>
        <v>2.87434427559349E-7</v>
      </c>
      <c r="L21">
        <f>(G21-G20)/(B21-B20)</f>
        <v>1.7610772080677095E-7</v>
      </c>
      <c r="M21" s="57">
        <f t="shared" si="4"/>
        <v>8.7599849999999757E-2</v>
      </c>
      <c r="N21" s="57">
        <f t="shared" si="5"/>
        <v>0.15449846206022</v>
      </c>
    </row>
    <row r="22" spans="1:14" ht="16.5" thickBot="1" x14ac:dyDescent="0.3">
      <c r="A22" s="40">
        <v>176492</v>
      </c>
      <c r="B22" s="40">
        <f t="shared" si="0"/>
        <v>157080</v>
      </c>
      <c r="C22" s="29">
        <v>0.10708800000000022</v>
      </c>
      <c r="D22" s="29">
        <v>7.6377799999999912E-2</v>
      </c>
      <c r="E22" s="29">
        <v>3.9763699999999923E-2</v>
      </c>
      <c r="F22" s="29">
        <v>3.2283400000000011E-2</v>
      </c>
      <c r="G22" s="29">
        <v>0.25</v>
      </c>
      <c r="H22" s="29"/>
      <c r="I22" s="29">
        <f t="shared" si="1"/>
        <v>2.3345286119826634</v>
      </c>
      <c r="J22" s="29">
        <f t="shared" si="2"/>
        <v>0.98425196850393704</v>
      </c>
      <c r="K22">
        <f t="shared" si="3"/>
        <v>3.2059535388722972E-7</v>
      </c>
      <c r="L22">
        <f>(G22-G21)/(B22-B21)</f>
        <v>2.0865690260883978E-6</v>
      </c>
      <c r="M22" s="57">
        <f t="shared" si="4"/>
        <v>0.10000139999999996</v>
      </c>
      <c r="N22" s="57">
        <f t="shared" si="5"/>
        <v>0.20387743496282901</v>
      </c>
    </row>
    <row r="23" spans="1:14" ht="16.5" thickBot="1" x14ac:dyDescent="0.3">
      <c r="A23" s="40">
        <v>241227</v>
      </c>
      <c r="B23" s="40">
        <f t="shared" si="0"/>
        <v>221815</v>
      </c>
      <c r="C23" s="29">
        <v>0.12283599999999989</v>
      </c>
      <c r="D23" s="29">
        <v>9.1732099999999941E-2</v>
      </c>
      <c r="E23" s="29">
        <v>5.0393600000000045E-2</v>
      </c>
      <c r="F23" s="29">
        <v>4.8425100000000158E-2</v>
      </c>
      <c r="G23" s="29"/>
      <c r="H23" s="29"/>
      <c r="I23" s="29"/>
      <c r="J23" s="29"/>
      <c r="K23">
        <f t="shared" si="3"/>
        <v>2.4326871089827242E-7</v>
      </c>
      <c r="M23" s="57">
        <f t="shared" si="4"/>
        <v>0.11496200000000006</v>
      </c>
      <c r="N23" s="57"/>
    </row>
    <row r="24" spans="1:14" ht="16.5" thickBot="1" x14ac:dyDescent="0.3">
      <c r="A24" s="40">
        <v>315992</v>
      </c>
      <c r="B24" s="40">
        <f t="shared" si="0"/>
        <v>296580</v>
      </c>
      <c r="C24" s="29">
        <v>0.13858400000000012</v>
      </c>
      <c r="D24" s="29">
        <v>0.11220450000000007</v>
      </c>
      <c r="E24" s="29">
        <v>6.4960499999999949E-2</v>
      </c>
      <c r="F24" s="29">
        <v>5.0393600000000045E-2</v>
      </c>
      <c r="G24" s="29"/>
      <c r="H24" s="29"/>
      <c r="I24" s="29"/>
      <c r="J24" s="29"/>
      <c r="K24">
        <f t="shared" si="3"/>
        <v>2.1063331772888695E-7</v>
      </c>
      <c r="M24" s="57">
        <f t="shared" si="4"/>
        <v>0.13070999999999999</v>
      </c>
      <c r="N24" s="57"/>
    </row>
    <row r="25" spans="1:14" ht="16.5" thickBot="1" x14ac:dyDescent="0.3">
      <c r="A25" s="40">
        <v>387910</v>
      </c>
      <c r="B25" s="40">
        <f t="shared" si="0"/>
        <v>368498</v>
      </c>
      <c r="C25" s="29">
        <v>0.15472569999999999</v>
      </c>
      <c r="D25" s="29">
        <v>0.12873990000000013</v>
      </c>
      <c r="E25" s="29">
        <v>7.5196700000000144E-2</v>
      </c>
      <c r="F25" s="29">
        <v>6.4960499999999949E-2</v>
      </c>
      <c r="G25" s="29"/>
      <c r="H25" s="29"/>
      <c r="I25" s="29"/>
      <c r="J25" s="29"/>
      <c r="K25">
        <f t="shared" si="3"/>
        <v>2.244458967157022E-7</v>
      </c>
      <c r="M25" s="57">
        <f t="shared" si="4"/>
        <v>0.14665485000000006</v>
      </c>
      <c r="N25" s="57"/>
    </row>
    <row r="26" spans="1:14" ht="16.5" thickBot="1" x14ac:dyDescent="0.3">
      <c r="A26" s="40">
        <v>460263</v>
      </c>
      <c r="B26" s="40">
        <f t="shared" si="0"/>
        <v>440851</v>
      </c>
      <c r="C26" s="29">
        <v>0.17401699999999978</v>
      </c>
      <c r="D26" s="29">
        <v>0.1429131000000001</v>
      </c>
      <c r="E26" s="29">
        <v>8.6220299999999916E-2</v>
      </c>
      <c r="F26" s="29">
        <v>6.7716399999999954E-2</v>
      </c>
      <c r="G26" s="29"/>
      <c r="H26" s="29"/>
      <c r="I26" s="29"/>
      <c r="J26" s="29"/>
      <c r="K26">
        <f t="shared" si="3"/>
        <v>2.6662750680690212E-7</v>
      </c>
      <c r="M26" s="57">
        <f t="shared" si="4"/>
        <v>0.16437134999999989</v>
      </c>
      <c r="N26" s="57"/>
    </row>
    <row r="27" spans="1:14" ht="16.5" thickBot="1" x14ac:dyDescent="0.3">
      <c r="A27" s="40">
        <v>523563</v>
      </c>
      <c r="B27" s="40">
        <f t="shared" si="0"/>
        <v>504151</v>
      </c>
      <c r="C27" s="29">
        <v>0.20000120000000021</v>
      </c>
      <c r="D27" s="29">
        <v>0.15354299999999996</v>
      </c>
      <c r="E27" s="29">
        <v>9.4881699999999874E-2</v>
      </c>
      <c r="F27" s="29">
        <v>7.5590400000000071E-2</v>
      </c>
      <c r="G27" s="29"/>
      <c r="H27" s="29"/>
      <c r="I27" s="29"/>
      <c r="J27" s="29"/>
      <c r="K27">
        <f t="shared" ref="K27:K34" si="6">(C27-C26)/(B27-B26)</f>
        <v>4.1049289099526744E-7</v>
      </c>
      <c r="M27" s="57">
        <f t="shared" si="4"/>
        <v>0.18700909999999998</v>
      </c>
      <c r="N27" s="57"/>
    </row>
    <row r="28" spans="1:14" ht="16.5" thickBot="1" x14ac:dyDescent="0.3">
      <c r="A28" s="40">
        <v>580279</v>
      </c>
      <c r="B28" s="40">
        <f t="shared" si="0"/>
        <v>560867</v>
      </c>
      <c r="C28" s="29">
        <v>0.22519800000000023</v>
      </c>
      <c r="D28" s="29">
        <v>0.1696847000000001</v>
      </c>
      <c r="E28" s="29">
        <v>0.10078720000000009</v>
      </c>
      <c r="F28" s="29">
        <v>8.4251800000000029E-2</v>
      </c>
      <c r="G28" s="29"/>
      <c r="H28" s="29"/>
      <c r="I28" s="29"/>
      <c r="J28" s="29"/>
      <c r="K28">
        <f t="shared" si="6"/>
        <v>4.442626419352567E-7</v>
      </c>
      <c r="M28" s="57">
        <f t="shared" si="4"/>
        <v>0.21259960000000022</v>
      </c>
      <c r="N28" s="57"/>
    </row>
    <row r="29" spans="1:14" ht="16.5" thickBot="1" x14ac:dyDescent="0.3">
      <c r="A29" s="40">
        <v>597347</v>
      </c>
      <c r="B29" s="40">
        <f t="shared" si="0"/>
        <v>577935</v>
      </c>
      <c r="C29" s="29">
        <v>0.24527669999999988</v>
      </c>
      <c r="D29" s="29">
        <v>0.1720469000000002</v>
      </c>
      <c r="E29" s="29">
        <v>0.10433049999999995</v>
      </c>
      <c r="F29" s="29">
        <v>8.5432900000000075E-2</v>
      </c>
      <c r="G29" s="29"/>
      <c r="H29" s="29"/>
      <c r="I29" s="29"/>
      <c r="J29" s="29"/>
      <c r="K29">
        <f t="shared" si="6"/>
        <v>1.1763944223107361E-6</v>
      </c>
      <c r="M29" s="57">
        <f t="shared" si="4"/>
        <v>0.23523735000000007</v>
      </c>
      <c r="N29" s="57"/>
    </row>
    <row r="30" spans="1:14" ht="16.5" thickBot="1" x14ac:dyDescent="0.3">
      <c r="A30" s="40">
        <v>610442</v>
      </c>
      <c r="B30" s="40">
        <f t="shared" si="0"/>
        <v>591030</v>
      </c>
      <c r="C30" s="29">
        <v>0.26889870000000021</v>
      </c>
      <c r="D30" s="29">
        <v>0.17637759999999988</v>
      </c>
      <c r="E30" s="29">
        <v>0.10275569999999998</v>
      </c>
      <c r="F30" s="29">
        <v>8.7401399999999962E-2</v>
      </c>
      <c r="G30" s="29"/>
      <c r="H30" s="29"/>
      <c r="I30" s="29"/>
      <c r="J30" s="29"/>
      <c r="K30">
        <f t="shared" si="6"/>
        <v>1.803894616265776E-6</v>
      </c>
      <c r="M30" s="57">
        <f t="shared" si="4"/>
        <v>0.25708770000000003</v>
      </c>
      <c r="N30" s="57"/>
    </row>
    <row r="31" spans="1:14" ht="16.5" thickBot="1" x14ac:dyDescent="0.3">
      <c r="A31" s="40">
        <v>622783</v>
      </c>
      <c r="B31" s="40">
        <f t="shared" si="0"/>
        <v>603371</v>
      </c>
      <c r="C31" s="29">
        <v>0.30039470000000013</v>
      </c>
      <c r="D31" s="29">
        <v>0.17913350000000017</v>
      </c>
      <c r="E31" s="29">
        <v>0.10590529999999991</v>
      </c>
      <c r="F31" s="29">
        <v>8.8582500000000008E-2</v>
      </c>
      <c r="G31" s="29"/>
      <c r="H31" s="29"/>
      <c r="I31" s="29"/>
      <c r="J31" s="29"/>
      <c r="K31">
        <f t="shared" si="6"/>
        <v>2.5521432622964032E-6</v>
      </c>
      <c r="M31" s="57">
        <f t="shared" si="4"/>
        <v>0.28464670000000014</v>
      </c>
      <c r="N31" s="57"/>
    </row>
    <row r="32" spans="1:14" ht="16.5" thickBot="1" x14ac:dyDescent="0.3">
      <c r="A32" s="40">
        <v>632027</v>
      </c>
      <c r="B32" s="40">
        <f t="shared" si="0"/>
        <v>612615</v>
      </c>
      <c r="C32" s="29">
        <v>0.34330799999999967</v>
      </c>
      <c r="D32" s="29">
        <v>0.18543270000000003</v>
      </c>
      <c r="E32" s="29">
        <v>0.10669270000000004</v>
      </c>
      <c r="F32" s="29">
        <v>8.8976199999999922E-2</v>
      </c>
      <c r="G32" s="29"/>
      <c r="H32" s="29"/>
      <c r="I32" s="29"/>
      <c r="J32" s="29"/>
      <c r="K32">
        <f t="shared" si="6"/>
        <v>4.6422868887926808E-6</v>
      </c>
      <c r="M32" s="57">
        <f t="shared" si="4"/>
        <v>0.32185134999999987</v>
      </c>
    </row>
    <row r="33" spans="1:13" ht="16.5" thickBot="1" x14ac:dyDescent="0.3">
      <c r="A33" s="40">
        <v>640526</v>
      </c>
      <c r="B33" s="40">
        <f t="shared" si="0"/>
        <v>621114</v>
      </c>
      <c r="C33" s="29">
        <v>0.43818970000000013</v>
      </c>
      <c r="D33" s="29">
        <v>0.18976340000000003</v>
      </c>
      <c r="E33" s="29">
        <v>0.10669270000000004</v>
      </c>
      <c r="F33" s="29">
        <v>8.9369900000000127E-2</v>
      </c>
      <c r="G33" s="29"/>
      <c r="H33" s="29"/>
      <c r="I33" s="29"/>
      <c r="J33" s="29"/>
      <c r="K33">
        <f t="shared" si="6"/>
        <v>1.1163866337216197E-5</v>
      </c>
      <c r="M33" s="57">
        <f t="shared" si="4"/>
        <v>0.39074884999999993</v>
      </c>
    </row>
    <row r="34" spans="1:13" ht="16.5" thickBot="1" x14ac:dyDescent="0.3">
      <c r="A34" s="40">
        <v>644706</v>
      </c>
      <c r="B34" s="40">
        <f t="shared" si="0"/>
        <v>625294</v>
      </c>
      <c r="C34" s="29">
        <v>0.54133909999999963</v>
      </c>
      <c r="D34" s="29">
        <v>0.19685000000000002</v>
      </c>
      <c r="E34" s="29">
        <v>0.13070840000000003</v>
      </c>
      <c r="F34" s="29">
        <v>9.1338400000000014E-2</v>
      </c>
      <c r="G34" s="29"/>
      <c r="H34" s="29"/>
      <c r="I34" s="29"/>
      <c r="J34" s="29"/>
      <c r="K34">
        <f t="shared" si="6"/>
        <v>2.4676889952152989E-5</v>
      </c>
      <c r="M34" s="57">
        <f t="shared" si="4"/>
        <v>0.48976439999999988</v>
      </c>
    </row>
    <row r="35" spans="1:13" ht="16.5" thickBot="1" x14ac:dyDescent="0.3">
      <c r="A35" s="40">
        <v>646417</v>
      </c>
      <c r="B35" s="40">
        <f t="shared" si="0"/>
        <v>627005</v>
      </c>
      <c r="C35" s="29">
        <v>0.65078770000000041</v>
      </c>
      <c r="D35" s="29">
        <v>0.20511770000000004</v>
      </c>
      <c r="E35" s="29">
        <v>0.55669179999999996</v>
      </c>
      <c r="F35" s="29">
        <v>9.2125800000000133E-2</v>
      </c>
      <c r="G35" s="29"/>
      <c r="H35" s="29"/>
      <c r="I35" s="29"/>
      <c r="J35" s="29"/>
      <c r="K35">
        <f>(C35-C34)/(B35-B34)</f>
        <v>6.3967621274109164E-5</v>
      </c>
      <c r="M35" s="57">
        <f>AVERAGE(C34:C35)</f>
        <v>0.59606340000000002</v>
      </c>
    </row>
    <row r="36" spans="1:13" ht="16.5" thickBot="1" x14ac:dyDescent="0.3">
      <c r="A36" s="40">
        <v>647735</v>
      </c>
      <c r="B36" s="40">
        <f t="shared" si="0"/>
        <v>628323</v>
      </c>
      <c r="C36" s="29"/>
      <c r="D36" s="29"/>
      <c r="E36" s="29"/>
      <c r="F36" s="29"/>
      <c r="G36" s="29"/>
      <c r="H36" s="29"/>
      <c r="I36" s="29"/>
      <c r="J36" s="29"/>
      <c r="M36" s="57"/>
    </row>
    <row r="37" spans="1:13" x14ac:dyDescent="0.25">
      <c r="M37" s="57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0:N39"/>
  <sheetViews>
    <sheetView zoomScale="70" zoomScaleNormal="70" workbookViewId="0">
      <selection activeCell="K11" sqref="K11:N14"/>
    </sheetView>
  </sheetViews>
  <sheetFormatPr defaultRowHeight="15" x14ac:dyDescent="0.25"/>
  <cols>
    <col min="1" max="1" width="12.7109375" bestFit="1" customWidth="1"/>
    <col min="2" max="2" width="10.5703125" customWidth="1"/>
    <col min="8" max="8" width="21.140625" customWidth="1"/>
    <col min="11" max="12" width="14.85546875" bestFit="1" customWidth="1"/>
  </cols>
  <sheetData>
    <row r="10" spans="1:14" ht="53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90" t="s">
        <v>25</v>
      </c>
      <c r="J11" s="90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90"/>
      <c r="J12" s="90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90"/>
      <c r="J13" s="90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90"/>
      <c r="J14" s="90"/>
      <c r="K14" s="90"/>
      <c r="L14" s="90"/>
      <c r="M14" s="90"/>
      <c r="N14" s="90"/>
    </row>
    <row r="15" spans="1:14" ht="16.5" thickBot="1" x14ac:dyDescent="0.3">
      <c r="A15" s="40">
        <v>0</v>
      </c>
      <c r="B15" s="40">
        <f>A15-36842</f>
        <v>-36842</v>
      </c>
      <c r="C15" s="29">
        <v>2.4018699999999643E-2</v>
      </c>
      <c r="D15" s="29"/>
      <c r="E15" s="29"/>
      <c r="F15" s="29"/>
      <c r="G15" s="29">
        <v>2.1083317681931692E-2</v>
      </c>
      <c r="H15" s="29"/>
      <c r="I15" s="29">
        <f>G15/C15</f>
        <v>0.87778762722095727</v>
      </c>
      <c r="J15" s="29">
        <f>G15/0.253</f>
        <v>8.3333271470085735E-2</v>
      </c>
    </row>
    <row r="16" spans="1:14" ht="16.5" thickBot="1" x14ac:dyDescent="0.3">
      <c r="A16" s="40">
        <v>20000</v>
      </c>
      <c r="B16" s="40">
        <f t="shared" ref="B16:B39" si="0">A16-36842</f>
        <v>-16842</v>
      </c>
      <c r="C16" s="29">
        <v>4.0947799999999909E-2</v>
      </c>
      <c r="D16" s="29"/>
      <c r="E16" s="29"/>
      <c r="F16" s="29"/>
      <c r="G16" s="29">
        <v>3.6895805943380995E-2</v>
      </c>
      <c r="H16" s="29"/>
      <c r="I16" s="29">
        <f t="shared" ref="I16:I23" si="1">G16/C16</f>
        <v>0.90104488991792175</v>
      </c>
      <c r="J16" s="29">
        <f t="shared" ref="J16:J23" si="2">G16/0.253</f>
        <v>0.14583322507265215</v>
      </c>
    </row>
    <row r="17" spans="1:14" ht="16.5" thickBot="1" x14ac:dyDescent="0.3">
      <c r="A17" s="43">
        <f>A18-((A18-A16)*(C18-C17)/(C18-C16))</f>
        <v>36842.104394208887</v>
      </c>
      <c r="B17" s="43">
        <v>0</v>
      </c>
      <c r="C17" s="41">
        <v>0.05</v>
      </c>
      <c r="D17" s="41"/>
      <c r="E17" s="41"/>
      <c r="F17" s="41"/>
      <c r="G17" s="41">
        <f>C17*0.98</f>
        <v>4.9000000000000002E-2</v>
      </c>
      <c r="H17" s="41"/>
      <c r="I17" s="41">
        <f t="shared" si="1"/>
        <v>0.98</v>
      </c>
      <c r="J17" s="41">
        <f t="shared" si="2"/>
        <v>0.19367588932806323</v>
      </c>
      <c r="M17" s="57"/>
      <c r="N17" s="57"/>
    </row>
    <row r="18" spans="1:14" ht="16.5" thickBot="1" x14ac:dyDescent="0.3">
      <c r="A18" s="40">
        <v>40510</v>
      </c>
      <c r="B18" s="40">
        <f t="shared" si="0"/>
        <v>3668</v>
      </c>
      <c r="C18" s="29">
        <v>5.1971399999999959E-2</v>
      </c>
      <c r="D18" s="29"/>
      <c r="E18" s="29"/>
      <c r="F18" s="29"/>
      <c r="G18" s="29">
        <v>5.1202342941833338E-2</v>
      </c>
      <c r="H18" s="29"/>
      <c r="I18" s="29">
        <f t="shared" si="1"/>
        <v>0.98520230245545393</v>
      </c>
      <c r="J18" s="29">
        <f t="shared" si="2"/>
        <v>0.20238080214163376</v>
      </c>
      <c r="K18">
        <f t="shared" ref="K18:K26" si="3">(C18-C17)/(B18-B17)</f>
        <v>5.3745910577970466E-7</v>
      </c>
      <c r="L18">
        <f t="shared" ref="L18:L23" si="4">(G18-G17)/(B18-B17)</f>
        <v>6.0042064935478097E-7</v>
      </c>
      <c r="M18" s="57">
        <f>AVERAGE(C17:C18)</f>
        <v>5.0985699999999981E-2</v>
      </c>
      <c r="N18" s="57">
        <f>AVERAGE(G17:G18)</f>
        <v>5.0101171470916667E-2</v>
      </c>
    </row>
    <row r="19" spans="1:14" ht="16.5" thickBot="1" x14ac:dyDescent="0.3">
      <c r="A19" s="40">
        <v>69986</v>
      </c>
      <c r="B19" s="40">
        <f t="shared" si="0"/>
        <v>33144</v>
      </c>
      <c r="C19" s="29">
        <v>6.0239099999999712E-2</v>
      </c>
      <c r="D19" s="29"/>
      <c r="E19" s="29"/>
      <c r="F19" s="29"/>
      <c r="G19" s="29">
        <v>6.1744001782800255E-2</v>
      </c>
      <c r="H19" s="29"/>
      <c r="I19" s="29">
        <f t="shared" si="1"/>
        <v>1.0249821425419794</v>
      </c>
      <c r="J19" s="29">
        <f t="shared" si="2"/>
        <v>0.24404743787668084</v>
      </c>
      <c r="K19">
        <f t="shared" si="3"/>
        <v>2.8048921156194033E-7</v>
      </c>
      <c r="L19">
        <f t="shared" si="4"/>
        <v>3.5763532504298131E-7</v>
      </c>
      <c r="M19" s="57">
        <f t="shared" ref="M19:M38" si="5">AVERAGE(C18:C19)</f>
        <v>5.6105249999999836E-2</v>
      </c>
      <c r="N19" s="57">
        <f t="shared" ref="N19:N22" si="6">AVERAGE(G18:G19)</f>
        <v>5.6473172362316797E-2</v>
      </c>
    </row>
    <row r="20" spans="1:14" ht="16.5" thickBot="1" x14ac:dyDescent="0.3">
      <c r="A20" s="40">
        <v>100018</v>
      </c>
      <c r="B20" s="40">
        <f t="shared" si="0"/>
        <v>63176</v>
      </c>
      <c r="C20" s="29">
        <v>7.1656399999999953E-2</v>
      </c>
      <c r="D20" s="29">
        <v>3.4645600000000103E-2</v>
      </c>
      <c r="E20" s="29"/>
      <c r="F20" s="29"/>
      <c r="G20" s="29">
        <v>6.3249953045795074E-2</v>
      </c>
      <c r="H20" s="29"/>
      <c r="I20" s="29">
        <f t="shared" si="1"/>
        <v>0.88268393396535572</v>
      </c>
      <c r="J20" s="29">
        <f t="shared" si="2"/>
        <v>0.2499998144102572</v>
      </c>
      <c r="K20">
        <f t="shared" si="3"/>
        <v>3.8017115077251738E-7</v>
      </c>
      <c r="L20">
        <f t="shared" si="4"/>
        <v>5.0144887553103982E-8</v>
      </c>
      <c r="M20" s="57">
        <f t="shared" si="5"/>
        <v>6.5947749999999833E-2</v>
      </c>
      <c r="N20" s="57">
        <f t="shared" si="6"/>
        <v>6.2496977414297661E-2</v>
      </c>
    </row>
    <row r="21" spans="1:14" ht="16.5" thickBot="1" x14ac:dyDescent="0.3">
      <c r="A21" s="40">
        <v>140014</v>
      </c>
      <c r="B21" s="40">
        <f t="shared" si="0"/>
        <v>103172</v>
      </c>
      <c r="C21" s="29">
        <v>8.3861100000000049E-2</v>
      </c>
      <c r="D21" s="29">
        <v>5.5511699999999872E-2</v>
      </c>
      <c r="E21" s="29"/>
      <c r="F21" s="29"/>
      <c r="G21" s="29">
        <v>0.12122907667110669</v>
      </c>
      <c r="H21" s="29"/>
      <c r="I21" s="29">
        <f t="shared" si="1"/>
        <v>1.445593686120342</v>
      </c>
      <c r="J21" s="29">
        <f t="shared" si="2"/>
        <v>0.47916631095299084</v>
      </c>
      <c r="K21">
        <f t="shared" si="3"/>
        <v>3.0514801480148253E-7</v>
      </c>
      <c r="L21">
        <f t="shared" si="4"/>
        <v>1.4496230529380842E-6</v>
      </c>
      <c r="M21" s="57">
        <f t="shared" si="5"/>
        <v>7.7758750000000001E-2</v>
      </c>
      <c r="N21" s="57">
        <f t="shared" si="6"/>
        <v>9.2239514858450888E-2</v>
      </c>
    </row>
    <row r="22" spans="1:14" ht="16.5" thickBot="1" x14ac:dyDescent="0.3">
      <c r="A22" s="40">
        <v>180052</v>
      </c>
      <c r="B22" s="40">
        <f t="shared" si="0"/>
        <v>143210</v>
      </c>
      <c r="C22" s="29">
        <v>9.3703600000000054E-2</v>
      </c>
      <c r="D22" s="29">
        <v>7.3621899999999907E-2</v>
      </c>
      <c r="E22" s="29"/>
      <c r="F22" s="29"/>
      <c r="G22" s="29">
        <v>0.23342244576424342</v>
      </c>
      <c r="H22" s="29"/>
      <c r="I22" s="29">
        <f t="shared" si="1"/>
        <v>2.4910723362202019</v>
      </c>
      <c r="J22" s="29">
        <f t="shared" si="2"/>
        <v>0.92261836270451947</v>
      </c>
      <c r="K22">
        <f t="shared" si="3"/>
        <v>2.4582896248563874E-7</v>
      </c>
      <c r="L22">
        <f t="shared" si="4"/>
        <v>2.8021721637728341E-6</v>
      </c>
      <c r="M22" s="57">
        <f t="shared" si="5"/>
        <v>8.8782350000000052E-2</v>
      </c>
      <c r="N22" s="57">
        <f t="shared" si="6"/>
        <v>0.17732576121767507</v>
      </c>
    </row>
    <row r="23" spans="1:14" ht="16.5" thickBot="1" x14ac:dyDescent="0.3">
      <c r="A23" s="40">
        <v>220012</v>
      </c>
      <c r="B23" s="40">
        <f t="shared" si="0"/>
        <v>183170</v>
      </c>
      <c r="C23" s="29">
        <v>0.10000279999999992</v>
      </c>
      <c r="D23" s="29">
        <v>8.4251800000000029E-2</v>
      </c>
      <c r="E23" s="29">
        <v>2.7559000000000115E-2</v>
      </c>
      <c r="F23" s="29">
        <v>2.9527500000000002E-2</v>
      </c>
      <c r="G23" s="29">
        <v>0.25</v>
      </c>
      <c r="H23" s="29"/>
      <c r="I23" s="29">
        <f t="shared" si="1"/>
        <v>2.4999300019599473</v>
      </c>
      <c r="J23" s="29">
        <f t="shared" si="2"/>
        <v>0.98814229249011853</v>
      </c>
      <c r="K23">
        <f t="shared" si="3"/>
        <v>1.5763763763763428E-7</v>
      </c>
      <c r="L23">
        <f t="shared" si="4"/>
        <v>4.148537096035179E-7</v>
      </c>
      <c r="M23" s="57">
        <f t="shared" si="5"/>
        <v>9.6853199999999987E-2</v>
      </c>
      <c r="N23" s="57">
        <f>AVERAGE(G22:G23)</f>
        <v>0.24171122288212171</v>
      </c>
    </row>
    <row r="24" spans="1:14" ht="16.5" thickBot="1" x14ac:dyDescent="0.3">
      <c r="A24" s="40">
        <v>260008</v>
      </c>
      <c r="B24" s="40">
        <f t="shared" si="0"/>
        <v>223166</v>
      </c>
      <c r="C24" s="29">
        <v>0.11023900000000011</v>
      </c>
      <c r="D24" s="29">
        <v>9.4094300000000033E-2</v>
      </c>
      <c r="E24" s="29">
        <v>3.97637000000002E-2</v>
      </c>
      <c r="F24" s="29">
        <v>3.700779999999991E-2</v>
      </c>
      <c r="G24" s="29"/>
      <c r="H24" s="29"/>
      <c r="I24" s="29"/>
      <c r="J24" s="29"/>
      <c r="K24">
        <f t="shared" si="3"/>
        <v>2.5593059305931081E-7</v>
      </c>
      <c r="M24" s="57">
        <f t="shared" si="5"/>
        <v>0.10512090000000002</v>
      </c>
      <c r="N24" s="57"/>
    </row>
    <row r="25" spans="1:14" ht="16.5" thickBot="1" x14ac:dyDescent="0.3">
      <c r="A25" s="40">
        <v>300015</v>
      </c>
      <c r="B25" s="40">
        <f t="shared" si="0"/>
        <v>263173</v>
      </c>
      <c r="C25" s="29">
        <v>0.11811300000000023</v>
      </c>
      <c r="D25" s="29">
        <v>0.10314940000000018</v>
      </c>
      <c r="E25" s="29">
        <v>4.6456599999999994E-2</v>
      </c>
      <c r="F25" s="29">
        <v>4.0944799999999969E-2</v>
      </c>
      <c r="G25" s="29"/>
      <c r="H25" s="29"/>
      <c r="I25" s="29"/>
      <c r="J25" s="29"/>
      <c r="K25">
        <f t="shared" si="3"/>
        <v>1.9681555727747938E-7</v>
      </c>
      <c r="M25" s="57">
        <f t="shared" si="5"/>
        <v>0.11417600000000017</v>
      </c>
      <c r="N25" s="57"/>
    </row>
    <row r="26" spans="1:14" ht="16.5" thickBot="1" x14ac:dyDescent="0.3">
      <c r="A26" s="40">
        <v>341205</v>
      </c>
      <c r="B26" s="40">
        <f t="shared" si="0"/>
        <v>304363</v>
      </c>
      <c r="C26" s="29">
        <v>0.12756180000000003</v>
      </c>
      <c r="D26" s="29">
        <v>0.1149603999999998</v>
      </c>
      <c r="E26" s="29">
        <v>5.0787299999999973E-2</v>
      </c>
      <c r="F26" s="29">
        <v>4.6850299999999914E-2</v>
      </c>
      <c r="G26" s="29"/>
      <c r="H26" s="29"/>
      <c r="I26" s="29"/>
      <c r="J26" s="29"/>
      <c r="K26">
        <f t="shared" si="3"/>
        <v>2.2939548434085456E-7</v>
      </c>
      <c r="M26" s="57">
        <f t="shared" si="5"/>
        <v>0.12283740000000012</v>
      </c>
      <c r="N26" s="57"/>
    </row>
    <row r="27" spans="1:14" ht="16.5" thickBot="1" x14ac:dyDescent="0.3">
      <c r="A27" s="40">
        <v>380004</v>
      </c>
      <c r="B27" s="40">
        <f t="shared" si="0"/>
        <v>343162</v>
      </c>
      <c r="C27" s="29">
        <v>0.1370106000000004</v>
      </c>
      <c r="D27" s="29">
        <v>0.12244069999999999</v>
      </c>
      <c r="E27" s="29">
        <v>6.2204600000000214E-2</v>
      </c>
      <c r="F27" s="29">
        <v>4.9212500000000006E-2</v>
      </c>
      <c r="G27" s="29"/>
      <c r="H27" s="29"/>
      <c r="I27" s="29"/>
      <c r="J27" s="29"/>
      <c r="K27">
        <f t="shared" ref="K27:K38" si="7">(C27-C26)/(B27-B26)</f>
        <v>2.4353204979510732E-7</v>
      </c>
      <c r="M27" s="57">
        <f t="shared" si="5"/>
        <v>0.13228620000000021</v>
      </c>
      <c r="N27" s="57"/>
    </row>
    <row r="28" spans="1:14" ht="16.5" thickBot="1" x14ac:dyDescent="0.3">
      <c r="A28" s="40">
        <v>419997</v>
      </c>
      <c r="B28" s="40">
        <f t="shared" si="0"/>
        <v>383155</v>
      </c>
      <c r="C28" s="29">
        <v>0.14685309999999982</v>
      </c>
      <c r="D28" s="29">
        <v>0.12992100000000018</v>
      </c>
      <c r="E28" s="29">
        <v>6.7322700000000041E-2</v>
      </c>
      <c r="F28" s="29">
        <v>5.3936899999999906E-2</v>
      </c>
      <c r="G28" s="29"/>
      <c r="H28" s="29"/>
      <c r="I28" s="29"/>
      <c r="J28" s="29"/>
      <c r="K28">
        <f t="shared" si="7"/>
        <v>2.4610556847446856E-7</v>
      </c>
      <c r="M28" s="57">
        <f t="shared" si="5"/>
        <v>0.14193185000000011</v>
      </c>
      <c r="N28" s="57"/>
    </row>
    <row r="29" spans="1:14" ht="16.5" thickBot="1" x14ac:dyDescent="0.3">
      <c r="A29" s="40">
        <v>460002</v>
      </c>
      <c r="B29" s="40">
        <f t="shared" si="0"/>
        <v>423160</v>
      </c>
      <c r="C29" s="29">
        <v>0.1559082</v>
      </c>
      <c r="D29" s="29">
        <v>0.13858240000000013</v>
      </c>
      <c r="E29" s="29">
        <v>7.0472299999999974E-2</v>
      </c>
      <c r="F29" s="29">
        <v>5.7873899999999957E-2</v>
      </c>
      <c r="G29" s="29"/>
      <c r="H29" s="29"/>
      <c r="I29" s="29"/>
      <c r="J29" s="29"/>
      <c r="K29">
        <f t="shared" si="7"/>
        <v>2.2634920634921076E-7</v>
      </c>
      <c r="M29" s="57">
        <f t="shared" si="5"/>
        <v>0.15138064999999989</v>
      </c>
      <c r="N29" s="57"/>
    </row>
    <row r="30" spans="1:14" ht="16.5" thickBot="1" x14ac:dyDescent="0.3">
      <c r="A30" s="40">
        <v>501614</v>
      </c>
      <c r="B30" s="40">
        <f t="shared" si="0"/>
        <v>464772</v>
      </c>
      <c r="C30" s="29">
        <v>0.16771920000000043</v>
      </c>
      <c r="D30" s="29">
        <v>0.1499997000000001</v>
      </c>
      <c r="E30" s="29">
        <v>7.7952600000000163E-2</v>
      </c>
      <c r="F30" s="29">
        <v>6.2992000000000062E-2</v>
      </c>
      <c r="G30" s="29"/>
      <c r="H30" s="29"/>
      <c r="I30" s="29"/>
      <c r="J30" s="29"/>
      <c r="K30">
        <f t="shared" si="7"/>
        <v>2.8383639334808308E-7</v>
      </c>
      <c r="M30" s="57">
        <f t="shared" si="5"/>
        <v>0.16181370000000023</v>
      </c>
      <c r="N30" s="57"/>
    </row>
    <row r="31" spans="1:14" ht="16.5" thickBot="1" x14ac:dyDescent="0.3">
      <c r="A31" s="40">
        <v>540000</v>
      </c>
      <c r="B31" s="40">
        <f t="shared" si="0"/>
        <v>503158</v>
      </c>
      <c r="C31" s="29">
        <v>0.18071130000000038</v>
      </c>
      <c r="D31" s="29">
        <v>0.1570863000000001</v>
      </c>
      <c r="E31" s="29">
        <v>8.2283300000000142E-2</v>
      </c>
      <c r="F31" s="29">
        <v>6.9684899999999841E-2</v>
      </c>
      <c r="G31" s="29"/>
      <c r="H31" s="29"/>
      <c r="I31" s="29"/>
      <c r="J31" s="29"/>
      <c r="K31">
        <f t="shared" si="7"/>
        <v>3.3845933413223444E-7</v>
      </c>
      <c r="M31" s="57">
        <f t="shared" si="5"/>
        <v>0.1742152500000004</v>
      </c>
      <c r="N31" s="57"/>
    </row>
    <row r="32" spans="1:14" ht="16.5" thickBot="1" x14ac:dyDescent="0.3">
      <c r="A32" s="40">
        <v>580857</v>
      </c>
      <c r="B32" s="40">
        <f t="shared" si="0"/>
        <v>544015</v>
      </c>
      <c r="C32" s="29">
        <v>0.19724670000000044</v>
      </c>
      <c r="D32" s="29">
        <v>0.17047210000000021</v>
      </c>
      <c r="E32" s="29">
        <v>8.7401399999999962E-2</v>
      </c>
      <c r="F32" s="29">
        <v>7.5590400000000071E-2</v>
      </c>
      <c r="G32" s="29"/>
      <c r="H32" s="29"/>
      <c r="I32" s="29"/>
      <c r="J32" s="29"/>
      <c r="K32">
        <f t="shared" si="7"/>
        <v>4.0471400249651371E-7</v>
      </c>
      <c r="M32" s="57">
        <f t="shared" si="5"/>
        <v>0.1889790000000004</v>
      </c>
    </row>
    <row r="33" spans="1:13" ht="16.5" thickBot="1" x14ac:dyDescent="0.3">
      <c r="A33" s="40">
        <v>620003</v>
      </c>
      <c r="B33" s="40">
        <f t="shared" si="0"/>
        <v>583161</v>
      </c>
      <c r="C33" s="29">
        <v>0.21811279999999991</v>
      </c>
      <c r="D33" s="29">
        <v>0.18582639999999997</v>
      </c>
      <c r="E33" s="29">
        <v>9.1732099999999941E-2</v>
      </c>
      <c r="F33" s="29">
        <v>8.3464400000000188E-2</v>
      </c>
      <c r="G33" s="29"/>
      <c r="H33" s="29"/>
      <c r="I33" s="29"/>
      <c r="J33" s="29"/>
      <c r="K33">
        <f t="shared" si="7"/>
        <v>5.3303274919530655E-7</v>
      </c>
      <c r="M33" s="57">
        <f t="shared" si="5"/>
        <v>0.20767975000000016</v>
      </c>
    </row>
    <row r="34" spans="1:13" ht="16.5" thickBot="1" x14ac:dyDescent="0.3">
      <c r="A34" s="40">
        <v>639993</v>
      </c>
      <c r="B34" s="40">
        <f t="shared" si="0"/>
        <v>603151</v>
      </c>
      <c r="C34" s="29">
        <v>0.23622300000000024</v>
      </c>
      <c r="D34" s="29">
        <v>0.20708619999999994</v>
      </c>
      <c r="E34" s="29">
        <v>9.4487999999999947E-2</v>
      </c>
      <c r="F34" s="29">
        <v>8.5826599999999989E-2</v>
      </c>
      <c r="G34" s="29"/>
      <c r="H34" s="29"/>
      <c r="I34" s="29"/>
      <c r="J34" s="29"/>
      <c r="K34">
        <f t="shared" si="7"/>
        <v>9.0596298149076163E-7</v>
      </c>
      <c r="M34" s="57">
        <f t="shared" si="5"/>
        <v>0.22716790000000009</v>
      </c>
    </row>
    <row r="35" spans="1:13" ht="16.5" thickBot="1" x14ac:dyDescent="0.3">
      <c r="A35" s="40">
        <v>655047</v>
      </c>
      <c r="B35" s="40">
        <f t="shared" si="0"/>
        <v>618205</v>
      </c>
      <c r="C35" s="29">
        <v>0.27441190000000021</v>
      </c>
      <c r="D35" s="29">
        <v>0.21023580000000014</v>
      </c>
      <c r="E35" s="29">
        <v>9.5669099999999993E-2</v>
      </c>
      <c r="F35" s="29">
        <v>8.740140000000024E-2</v>
      </c>
      <c r="G35" s="29"/>
      <c r="H35" s="29"/>
      <c r="I35" s="29"/>
      <c r="J35" s="29"/>
      <c r="K35">
        <f t="shared" si="7"/>
        <v>2.536794207519594E-6</v>
      </c>
      <c r="M35" s="57">
        <f t="shared" si="5"/>
        <v>0.25531745000000022</v>
      </c>
    </row>
    <row r="36" spans="1:13" ht="16.5" thickBot="1" x14ac:dyDescent="0.3">
      <c r="A36" s="40">
        <v>663349</v>
      </c>
      <c r="B36" s="40">
        <f t="shared" si="0"/>
        <v>626507</v>
      </c>
      <c r="C36" s="29">
        <v>0.32323069999999998</v>
      </c>
      <c r="D36" s="29">
        <v>0.2137791</v>
      </c>
      <c r="E36" s="29">
        <v>9.6456499999999834E-2</v>
      </c>
      <c r="F36" s="29">
        <v>8.8188800000000081E-2</v>
      </c>
      <c r="G36" s="29"/>
      <c r="H36" s="29"/>
      <c r="I36" s="29"/>
      <c r="J36" s="29"/>
      <c r="K36">
        <f t="shared" si="7"/>
        <v>5.8803661768248345E-6</v>
      </c>
      <c r="M36" s="57">
        <f t="shared" si="5"/>
        <v>0.29882130000000007</v>
      </c>
    </row>
    <row r="37" spans="1:13" ht="16.5" thickBot="1" x14ac:dyDescent="0.3">
      <c r="A37" s="40">
        <v>671410</v>
      </c>
      <c r="B37" s="40">
        <f t="shared" si="0"/>
        <v>634568</v>
      </c>
      <c r="C37" s="29">
        <v>0.44094700000000037</v>
      </c>
      <c r="D37" s="29">
        <v>0.22440899999999986</v>
      </c>
      <c r="E37" s="29">
        <v>9.8031300000000085E-2</v>
      </c>
      <c r="F37" s="29">
        <v>8.9763600000000054E-2</v>
      </c>
      <c r="G37" s="29"/>
      <c r="H37" s="29"/>
      <c r="I37" s="29"/>
      <c r="J37" s="29"/>
      <c r="K37">
        <f t="shared" si="7"/>
        <v>1.460318819005091E-5</v>
      </c>
      <c r="M37" s="57">
        <f t="shared" si="5"/>
        <v>0.38208885000000015</v>
      </c>
    </row>
    <row r="38" spans="1:13" ht="16.5" thickBot="1" x14ac:dyDescent="0.3">
      <c r="A38" s="40">
        <v>674917</v>
      </c>
      <c r="B38" s="40">
        <f t="shared" si="0"/>
        <v>638075</v>
      </c>
      <c r="C38" s="29">
        <v>0.56023809999999996</v>
      </c>
      <c r="D38" s="29">
        <v>0.24212549999999997</v>
      </c>
      <c r="E38" s="29">
        <v>0.17519649999999984</v>
      </c>
      <c r="F38" s="29">
        <v>9.4094300000000033E-2</v>
      </c>
      <c r="G38" s="29"/>
      <c r="H38" s="29"/>
      <c r="I38" s="29"/>
      <c r="J38" s="29"/>
      <c r="K38">
        <f t="shared" si="7"/>
        <v>3.4015141146278752E-5</v>
      </c>
      <c r="M38" s="57">
        <f t="shared" si="5"/>
        <v>0.50059255000000014</v>
      </c>
    </row>
    <row r="39" spans="1:13" ht="16.5" thickBot="1" x14ac:dyDescent="0.3">
      <c r="A39" s="40">
        <v>676518</v>
      </c>
      <c r="B39" s="40">
        <f t="shared" si="0"/>
        <v>639676</v>
      </c>
      <c r="C39" s="29">
        <v>0.76181250000000011</v>
      </c>
      <c r="D39" s="29">
        <v>0.26732230000000023</v>
      </c>
      <c r="E39" s="29">
        <v>0.744093</v>
      </c>
      <c r="F39" s="29">
        <v>0.12047219999999982</v>
      </c>
      <c r="G39" s="29"/>
      <c r="H39" s="29"/>
      <c r="I39" s="29"/>
      <c r="J39" s="29"/>
      <c r="M39" s="57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0:N38"/>
  <sheetViews>
    <sheetView zoomScale="70" zoomScaleNormal="70" workbookViewId="0">
      <selection activeCell="K11" sqref="K11:N14"/>
    </sheetView>
  </sheetViews>
  <sheetFormatPr defaultRowHeight="15" x14ac:dyDescent="0.25"/>
  <cols>
    <col min="1" max="1" width="13.140625" bestFit="1" customWidth="1"/>
    <col min="2" max="2" width="10.5703125" customWidth="1"/>
    <col min="8" max="8" width="21.140625" customWidth="1"/>
    <col min="11" max="12" width="14.85546875" bestFit="1" customWidth="1"/>
  </cols>
  <sheetData>
    <row r="10" spans="1:14" ht="53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90" t="s">
        <v>25</v>
      </c>
      <c r="J11" s="90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90"/>
      <c r="J12" s="90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90"/>
      <c r="J13" s="90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90"/>
      <c r="J14" s="90"/>
      <c r="K14" s="90"/>
      <c r="L14" s="90"/>
      <c r="M14" s="90"/>
      <c r="N14" s="90"/>
    </row>
    <row r="15" spans="1:14" ht="16.5" thickBot="1" x14ac:dyDescent="0.3">
      <c r="A15" s="40">
        <v>0</v>
      </c>
      <c r="B15" s="40">
        <f>A15-23806</f>
        <v>-23806</v>
      </c>
      <c r="C15" s="29">
        <v>2.6377900000000069E-2</v>
      </c>
      <c r="D15" s="29"/>
      <c r="E15" s="29"/>
      <c r="F15" s="29"/>
      <c r="G15" s="29">
        <v>3.0135571149568989E-2</v>
      </c>
      <c r="H15" s="29"/>
      <c r="I15" s="29">
        <f>G15/C15</f>
        <v>1.1424552807300397</v>
      </c>
      <c r="J15" s="29">
        <f>G15/0.254</f>
        <v>0.11864398090381492</v>
      </c>
    </row>
    <row r="16" spans="1:14" ht="16.5" thickBot="1" x14ac:dyDescent="0.3">
      <c r="A16" s="40">
        <v>13599</v>
      </c>
      <c r="B16" s="40">
        <f t="shared" ref="B16:B35" si="0">A16-23806</f>
        <v>-10207</v>
      </c>
      <c r="C16" s="29">
        <v>4.2519599999999935E-2</v>
      </c>
      <c r="D16" s="29"/>
      <c r="E16" s="29"/>
      <c r="F16" s="29"/>
      <c r="G16" s="29">
        <v>4.3768329526754739E-2</v>
      </c>
      <c r="H16" s="29"/>
      <c r="I16" s="29">
        <f t="shared" ref="I16:I22" si="1">G16/C16</f>
        <v>1.0293683272362582</v>
      </c>
      <c r="J16" s="29">
        <f t="shared" ref="J16:J22" si="2">G16/0.254</f>
        <v>0.17231625797934935</v>
      </c>
    </row>
    <row r="17" spans="1:14" ht="16.5" thickBot="1" x14ac:dyDescent="0.3">
      <c r="A17" s="43">
        <f>A18-((A18-A16)*(C18-C17)/(C18-C16))</f>
        <v>23805.546700272964</v>
      </c>
      <c r="B17" s="43">
        <v>0</v>
      </c>
      <c r="C17" s="41">
        <v>0.05</v>
      </c>
      <c r="D17" s="41"/>
      <c r="E17" s="41"/>
      <c r="F17" s="41"/>
      <c r="G17" s="41">
        <f>C17*1.0293</f>
        <v>5.1465000000000011E-2</v>
      </c>
      <c r="H17" s="41"/>
      <c r="I17" s="41">
        <f>G17/C17</f>
        <v>1.0293000000000001</v>
      </c>
      <c r="J17" s="41">
        <f>G17/0.254</f>
        <v>0.20261811023622051</v>
      </c>
    </row>
    <row r="18" spans="1:14" ht="16.5" thickBot="1" x14ac:dyDescent="0.3">
      <c r="A18" s="40">
        <v>34549</v>
      </c>
      <c r="B18" s="40">
        <f t="shared" si="0"/>
        <v>10743</v>
      </c>
      <c r="C18" s="29">
        <v>5.7873899999999957E-2</v>
      </c>
      <c r="D18" s="29"/>
      <c r="E18" s="29"/>
      <c r="F18" s="29"/>
      <c r="G18" s="29">
        <v>5.9553628700338347E-2</v>
      </c>
      <c r="H18" s="29"/>
      <c r="I18" s="29">
        <f t="shared" si="1"/>
        <v>1.0290239417135945</v>
      </c>
      <c r="J18" s="29">
        <f t="shared" si="2"/>
        <v>0.23446310511944232</v>
      </c>
      <c r="K18">
        <f t="shared" ref="K18:K26" si="3">(C18-C17)/(B18-B17)</f>
        <v>7.3293307269849716E-7</v>
      </c>
      <c r="L18">
        <f>(G18-G17)/(B18-B17)</f>
        <v>7.5292085081805231E-7</v>
      </c>
      <c r="M18" s="57">
        <f>AVERAGE(C17:C18)</f>
        <v>5.3936949999999984E-2</v>
      </c>
      <c r="N18" s="57">
        <f>AVERAGE(G17:G18)</f>
        <v>5.5509314350169175E-2</v>
      </c>
    </row>
    <row r="19" spans="1:14" ht="16.5" thickBot="1" x14ac:dyDescent="0.3">
      <c r="A19" s="40">
        <v>81433</v>
      </c>
      <c r="B19" s="40">
        <f t="shared" si="0"/>
        <v>57627</v>
      </c>
      <c r="C19" s="29">
        <v>7.2834499999999774E-2</v>
      </c>
      <c r="D19" s="29"/>
      <c r="E19" s="29"/>
      <c r="F19" s="29"/>
      <c r="G19" s="29">
        <v>7.4621414275123352E-2</v>
      </c>
      <c r="H19" s="29"/>
      <c r="I19" s="29">
        <f t="shared" si="1"/>
        <v>1.0245338991154409</v>
      </c>
      <c r="J19" s="29">
        <f t="shared" si="2"/>
        <v>0.2937850955713518</v>
      </c>
      <c r="K19">
        <f t="shared" si="3"/>
        <v>3.190981998122988E-7</v>
      </c>
      <c r="L19">
        <f>(G19-G18)/(B19-B18)</f>
        <v>3.2138438645987982E-7</v>
      </c>
      <c r="M19" s="57">
        <f t="shared" ref="M19:M34" si="4">AVERAGE(C18:C19)</f>
        <v>6.5354199999999862E-2</v>
      </c>
      <c r="N19" s="57">
        <f t="shared" ref="N19:N22" si="5">AVERAGE(G18:G19)</f>
        <v>6.7087521487730853E-2</v>
      </c>
    </row>
    <row r="20" spans="1:14" ht="16.5" thickBot="1" x14ac:dyDescent="0.3">
      <c r="A20" s="40">
        <v>168573</v>
      </c>
      <c r="B20" s="40">
        <f t="shared" si="0"/>
        <v>144767</v>
      </c>
      <c r="C20" s="29">
        <v>9.6850199999999761E-2</v>
      </c>
      <c r="D20" s="29">
        <v>5.6692799999999911E-2</v>
      </c>
      <c r="E20" s="29"/>
      <c r="F20" s="29"/>
      <c r="G20" s="29">
        <v>0.10547449902349094</v>
      </c>
      <c r="H20" s="29"/>
      <c r="I20" s="29">
        <f t="shared" si="1"/>
        <v>1.0890478184194892</v>
      </c>
      <c r="J20" s="29">
        <f t="shared" si="2"/>
        <v>0.41525393316335019</v>
      </c>
      <c r="K20">
        <f t="shared" si="3"/>
        <v>2.7559903603396819E-7</v>
      </c>
      <c r="L20">
        <f>(G20-G19)/(B20-B19)</f>
        <v>3.5406340083047502E-7</v>
      </c>
      <c r="M20" s="57">
        <f t="shared" si="4"/>
        <v>8.4842349999999761E-2</v>
      </c>
      <c r="N20" s="57">
        <f t="shared" si="5"/>
        <v>9.0047956649307148E-2</v>
      </c>
    </row>
    <row r="21" spans="1:14" ht="16.5" thickBot="1" x14ac:dyDescent="0.3">
      <c r="A21" s="40">
        <v>275539</v>
      </c>
      <c r="B21" s="40">
        <f t="shared" si="0"/>
        <v>251733</v>
      </c>
      <c r="C21" s="29">
        <v>0.11811000000000001</v>
      </c>
      <c r="D21" s="29">
        <v>8.503919999999987E-2</v>
      </c>
      <c r="E21" s="29"/>
      <c r="F21" s="29"/>
      <c r="G21" s="29">
        <v>0.11982477099947531</v>
      </c>
      <c r="H21" s="29"/>
      <c r="I21" s="29">
        <f t="shared" si="1"/>
        <v>1.0145184234990712</v>
      </c>
      <c r="J21" s="29">
        <f t="shared" si="2"/>
        <v>0.47175106692706814</v>
      </c>
      <c r="K21">
        <f t="shared" si="3"/>
        <v>1.9875287474524844E-7</v>
      </c>
      <c r="L21">
        <f>(G21-G20)/(B21-B20)</f>
        <v>1.3415732079337695E-7</v>
      </c>
      <c r="M21" s="57">
        <f t="shared" si="4"/>
        <v>0.10748009999999988</v>
      </c>
      <c r="N21" s="57">
        <f>AVERAGE(G20:G21)</f>
        <v>0.11264963501148312</v>
      </c>
    </row>
    <row r="22" spans="1:14" ht="16.5" thickBot="1" x14ac:dyDescent="0.3">
      <c r="A22" s="40">
        <v>373245</v>
      </c>
      <c r="B22" s="40">
        <f t="shared" si="0"/>
        <v>349439</v>
      </c>
      <c r="C22" s="29">
        <v>0.14055089999999973</v>
      </c>
      <c r="D22" s="29">
        <v>0.10393680000000002</v>
      </c>
      <c r="E22" s="29">
        <v>6.3385699999999975E-2</v>
      </c>
      <c r="F22" s="29">
        <v>3.8188899999999956E-2</v>
      </c>
      <c r="G22" s="29">
        <v>0.25</v>
      </c>
      <c r="H22" s="29"/>
      <c r="I22" s="29">
        <f t="shared" si="1"/>
        <v>1.7787150420239251</v>
      </c>
      <c r="J22" s="29">
        <f t="shared" si="2"/>
        <v>0.98425196850393704</v>
      </c>
      <c r="K22">
        <f t="shared" si="3"/>
        <v>2.296778089370123E-7</v>
      </c>
      <c r="L22">
        <f>(G22-G21)/(B22-B21)</f>
        <v>1.332315610100963E-6</v>
      </c>
      <c r="M22" s="57">
        <f t="shared" si="4"/>
        <v>0.12933044999999987</v>
      </c>
      <c r="N22" s="57">
        <f t="shared" si="5"/>
        <v>0.18491238549973765</v>
      </c>
    </row>
    <row r="23" spans="1:14" ht="16.5" thickBot="1" x14ac:dyDescent="0.3">
      <c r="A23" s="40">
        <v>460740</v>
      </c>
      <c r="B23" s="40">
        <f t="shared" si="0"/>
        <v>436934</v>
      </c>
      <c r="C23" s="29">
        <v>0.16181069999999997</v>
      </c>
      <c r="D23" s="29">
        <v>0.11968479999999998</v>
      </c>
      <c r="E23" s="29">
        <v>7.3621899999999907E-2</v>
      </c>
      <c r="F23" s="29">
        <v>6.417309999999983E-2</v>
      </c>
      <c r="G23" s="29"/>
      <c r="H23" s="29"/>
      <c r="I23" s="29"/>
      <c r="J23" s="29"/>
      <c r="K23">
        <f t="shared" si="3"/>
        <v>2.4298302760158005E-7</v>
      </c>
      <c r="M23" s="57">
        <f t="shared" si="4"/>
        <v>0.15118079999999984</v>
      </c>
      <c r="N23" s="57"/>
    </row>
    <row r="24" spans="1:14" ht="16.5" thickBot="1" x14ac:dyDescent="0.3">
      <c r="A24" s="40">
        <v>544869</v>
      </c>
      <c r="B24" s="40">
        <f t="shared" si="0"/>
        <v>521063</v>
      </c>
      <c r="C24" s="29">
        <v>0.18818860000000007</v>
      </c>
      <c r="D24" s="29">
        <v>0.137795</v>
      </c>
      <c r="E24" s="29">
        <v>8.2677000000000056E-2</v>
      </c>
      <c r="F24" s="29">
        <v>7.8740000000000004E-2</v>
      </c>
      <c r="G24" s="29"/>
      <c r="H24" s="29"/>
      <c r="I24" s="29"/>
      <c r="J24" s="29"/>
      <c r="K24">
        <f t="shared" si="3"/>
        <v>3.1354110948662285E-7</v>
      </c>
      <c r="M24" s="57">
        <f t="shared" si="4"/>
        <v>0.17499965000000001</v>
      </c>
      <c r="N24" s="57"/>
    </row>
    <row r="25" spans="1:14" ht="16.5" thickBot="1" x14ac:dyDescent="0.3">
      <c r="A25" s="40">
        <v>586591</v>
      </c>
      <c r="B25" s="40">
        <f t="shared" si="0"/>
        <v>562785</v>
      </c>
      <c r="C25" s="29">
        <v>0.21850349999999991</v>
      </c>
      <c r="D25" s="29">
        <v>0.14645639999999996</v>
      </c>
      <c r="E25" s="29">
        <v>8.8976199999999922E-2</v>
      </c>
      <c r="F25" s="29">
        <v>8.7795099999999876E-2</v>
      </c>
      <c r="G25" s="29"/>
      <c r="H25" s="29"/>
      <c r="I25" s="29"/>
      <c r="J25" s="29"/>
      <c r="K25">
        <f t="shared" si="3"/>
        <v>7.2659268491442976E-7</v>
      </c>
      <c r="M25" s="57">
        <f t="shared" si="4"/>
        <v>0.20334605</v>
      </c>
      <c r="N25" s="57"/>
    </row>
    <row r="26" spans="1:14" ht="16.5" thickBot="1" x14ac:dyDescent="0.3">
      <c r="A26" s="40">
        <v>610250</v>
      </c>
      <c r="B26" s="40">
        <f t="shared" si="0"/>
        <v>586444</v>
      </c>
      <c r="C26" s="29">
        <v>0.26023570000000001</v>
      </c>
      <c r="D26" s="29"/>
      <c r="E26" s="29"/>
      <c r="F26" s="29"/>
      <c r="G26" s="29"/>
      <c r="H26" s="29"/>
      <c r="I26" s="29"/>
      <c r="J26" s="29"/>
      <c r="K26">
        <f t="shared" si="3"/>
        <v>1.7639037998224822E-6</v>
      </c>
      <c r="M26" s="57">
        <f t="shared" si="4"/>
        <v>0.23936959999999996</v>
      </c>
      <c r="N26" s="57"/>
    </row>
    <row r="27" spans="1:14" ht="16.5" thickBot="1" x14ac:dyDescent="0.3">
      <c r="A27" s="40">
        <v>619090</v>
      </c>
      <c r="B27" s="40">
        <f t="shared" si="0"/>
        <v>595284</v>
      </c>
      <c r="C27" s="29">
        <v>0.28818840000000029</v>
      </c>
      <c r="D27" s="29">
        <v>0.15433040000000006</v>
      </c>
      <c r="E27" s="29">
        <v>9.1732099999999941E-2</v>
      </c>
      <c r="F27" s="29">
        <v>9.0157299999999968E-2</v>
      </c>
      <c r="G27" s="29"/>
      <c r="H27" s="29"/>
      <c r="I27" s="29"/>
      <c r="J27" s="29"/>
      <c r="K27">
        <f t="shared" ref="K27:K34" si="6">(C27-C26)/(B27-B26)</f>
        <v>3.1620701357466375E-6</v>
      </c>
      <c r="M27" s="57">
        <f t="shared" si="4"/>
        <v>0.27421205000000015</v>
      </c>
      <c r="N27" s="57"/>
    </row>
    <row r="28" spans="1:14" ht="16.5" thickBot="1" x14ac:dyDescent="0.3">
      <c r="A28" s="40">
        <v>625690</v>
      </c>
      <c r="B28" s="40">
        <f t="shared" si="0"/>
        <v>601884</v>
      </c>
      <c r="C28" s="29">
        <v>0.33110169999999989</v>
      </c>
      <c r="D28" s="29"/>
      <c r="E28" s="29"/>
      <c r="F28" s="29"/>
      <c r="G28" s="29"/>
      <c r="H28" s="29"/>
      <c r="I28" s="29"/>
      <c r="J28" s="29"/>
      <c r="K28">
        <f t="shared" si="6"/>
        <v>6.5020151515150911E-6</v>
      </c>
      <c r="M28" s="57">
        <f t="shared" si="4"/>
        <v>0.30964505000000009</v>
      </c>
      <c r="N28" s="57"/>
    </row>
    <row r="29" spans="1:14" ht="16.5" thickBot="1" x14ac:dyDescent="0.3">
      <c r="A29" s="40">
        <v>629746</v>
      </c>
      <c r="B29" s="40">
        <f t="shared" si="0"/>
        <v>605940</v>
      </c>
      <c r="C29" s="29">
        <v>0.38818819999999998</v>
      </c>
      <c r="D29" s="29">
        <v>0.15866110000000005</v>
      </c>
      <c r="E29" s="29">
        <v>9.3306900000000179E-2</v>
      </c>
      <c r="F29" s="29">
        <v>9.0550999999999895E-2</v>
      </c>
      <c r="G29" s="29"/>
      <c r="H29" s="29"/>
      <c r="I29" s="29"/>
      <c r="J29" s="29"/>
      <c r="K29">
        <f t="shared" si="6"/>
        <v>1.4074580867850123E-5</v>
      </c>
      <c r="M29" s="57">
        <f t="shared" si="4"/>
        <v>0.35964494999999996</v>
      </c>
      <c r="N29" s="57"/>
    </row>
    <row r="30" spans="1:14" ht="16.5" thickBot="1" x14ac:dyDescent="0.3">
      <c r="A30" s="40">
        <v>632137</v>
      </c>
      <c r="B30" s="40">
        <f t="shared" si="0"/>
        <v>608331</v>
      </c>
      <c r="C30" s="29">
        <v>0.43740069999999998</v>
      </c>
      <c r="D30" s="29"/>
      <c r="E30" s="29"/>
      <c r="F30" s="29"/>
      <c r="G30" s="29"/>
      <c r="H30" s="29"/>
      <c r="I30" s="29"/>
      <c r="J30" s="29"/>
      <c r="K30">
        <f t="shared" si="6"/>
        <v>2.0582392304475113E-5</v>
      </c>
      <c r="M30" s="57">
        <f t="shared" si="4"/>
        <v>0.41279444999999998</v>
      </c>
      <c r="N30" s="57"/>
    </row>
    <row r="31" spans="1:14" ht="16.5" thickBot="1" x14ac:dyDescent="0.3">
      <c r="A31" s="40">
        <v>634190</v>
      </c>
      <c r="B31" s="40">
        <f t="shared" si="0"/>
        <v>610384</v>
      </c>
      <c r="C31" s="29">
        <v>0.4885816999999999</v>
      </c>
      <c r="D31" s="29">
        <v>0.16220440000000019</v>
      </c>
      <c r="E31" s="29">
        <v>9.7637600000000158E-2</v>
      </c>
      <c r="F31" s="29">
        <v>0.11771630000000008</v>
      </c>
      <c r="G31" s="29"/>
      <c r="H31" s="29"/>
      <c r="I31" s="29"/>
      <c r="J31" s="29"/>
      <c r="K31">
        <f t="shared" si="6"/>
        <v>2.4929858743302445E-5</v>
      </c>
      <c r="M31" s="57">
        <f t="shared" si="4"/>
        <v>0.46299119999999994</v>
      </c>
      <c r="N31" s="57"/>
    </row>
    <row r="32" spans="1:14" ht="16.5" thickBot="1" x14ac:dyDescent="0.3">
      <c r="A32" s="40">
        <v>635746</v>
      </c>
      <c r="B32" s="40">
        <f t="shared" si="0"/>
        <v>611940</v>
      </c>
      <c r="C32" s="29">
        <v>0.54094379999999986</v>
      </c>
      <c r="D32" s="29">
        <v>0.16456660000000001</v>
      </c>
      <c r="E32" s="29">
        <v>9.7637600000000158E-2</v>
      </c>
      <c r="F32" s="29">
        <v>0.31338519999999992</v>
      </c>
      <c r="G32" s="29"/>
      <c r="H32" s="29"/>
      <c r="I32" s="29"/>
      <c r="J32" s="29"/>
      <c r="K32">
        <f t="shared" si="6"/>
        <v>3.3651735218508978E-5</v>
      </c>
      <c r="M32" s="57">
        <f t="shared" si="4"/>
        <v>0.51476274999999982</v>
      </c>
    </row>
    <row r="33" spans="1:13" ht="16.5" thickBot="1" x14ac:dyDescent="0.3">
      <c r="A33" s="40">
        <v>636996</v>
      </c>
      <c r="B33" s="40">
        <f t="shared" si="0"/>
        <v>613190</v>
      </c>
      <c r="C33" s="29">
        <v>0.63582550000000027</v>
      </c>
      <c r="D33" s="29">
        <v>0.17125950000000006</v>
      </c>
      <c r="E33" s="29">
        <v>9.7637600000000158E-2</v>
      </c>
      <c r="F33" s="29">
        <v>0.57047130000000001</v>
      </c>
      <c r="G33" s="29"/>
      <c r="H33" s="29"/>
      <c r="I33" s="29"/>
      <c r="J33" s="29"/>
      <c r="K33">
        <f t="shared" si="6"/>
        <v>7.5905360000000323E-5</v>
      </c>
      <c r="M33" s="57">
        <f t="shared" si="4"/>
        <v>0.58838465000000006</v>
      </c>
    </row>
    <row r="34" spans="1:13" ht="16.5" thickBot="1" x14ac:dyDescent="0.3">
      <c r="A34" s="40">
        <v>637661</v>
      </c>
      <c r="B34" s="40">
        <f t="shared" si="0"/>
        <v>613855</v>
      </c>
      <c r="C34" s="29">
        <v>0.72952610000000007</v>
      </c>
      <c r="D34" s="29">
        <v>0.17755869999999993</v>
      </c>
      <c r="E34" s="29">
        <v>0.10157459999999995</v>
      </c>
      <c r="F34" s="29">
        <v>0.72795129999999997</v>
      </c>
      <c r="G34" s="29"/>
      <c r="H34" s="29"/>
      <c r="I34" s="29"/>
      <c r="J34" s="29"/>
      <c r="K34">
        <f t="shared" si="6"/>
        <v>1.4090315789473654E-4</v>
      </c>
      <c r="M34" s="57">
        <f t="shared" si="4"/>
        <v>0.68267580000000017</v>
      </c>
    </row>
    <row r="35" spans="1:13" ht="16.5" thickBot="1" x14ac:dyDescent="0.3">
      <c r="A35" s="40">
        <v>638302</v>
      </c>
      <c r="B35" s="40">
        <f t="shared" si="0"/>
        <v>614496</v>
      </c>
      <c r="C35" s="29"/>
      <c r="D35" s="29"/>
      <c r="E35" s="29"/>
      <c r="F35" s="29"/>
      <c r="G35" s="29"/>
      <c r="H35" s="29"/>
      <c r="I35" s="29"/>
      <c r="J35" s="29"/>
      <c r="M35" s="57"/>
    </row>
    <row r="36" spans="1:13" x14ac:dyDescent="0.25">
      <c r="M36" s="57"/>
    </row>
    <row r="37" spans="1:13" x14ac:dyDescent="0.25">
      <c r="M37" s="57"/>
    </row>
    <row r="38" spans="1:13" x14ac:dyDescent="0.25">
      <c r="M38" s="57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0:N35"/>
  <sheetViews>
    <sheetView zoomScale="70" zoomScaleNormal="70" workbookViewId="0">
      <selection activeCell="K11" sqref="K11:N14"/>
    </sheetView>
  </sheetViews>
  <sheetFormatPr defaultRowHeight="15" x14ac:dyDescent="0.25"/>
  <cols>
    <col min="1" max="1" width="13.140625" bestFit="1" customWidth="1"/>
    <col min="2" max="2" width="10.5703125" customWidth="1"/>
    <col min="8" max="8" width="21.140625" customWidth="1"/>
    <col min="12" max="12" width="14.85546875" bestFit="1" customWidth="1"/>
  </cols>
  <sheetData>
    <row r="10" spans="1:14" ht="53.45" customHeight="1" thickBot="1" x14ac:dyDescent="0.3"/>
    <row r="11" spans="1:14" ht="16.5" thickBot="1" x14ac:dyDescent="0.3">
      <c r="A11" s="75" t="s">
        <v>28</v>
      </c>
      <c r="B11" s="87" t="s">
        <v>27</v>
      </c>
      <c r="C11" s="78" t="s">
        <v>29</v>
      </c>
      <c r="D11" s="79"/>
      <c r="E11" s="79"/>
      <c r="F11" s="79"/>
      <c r="G11" s="80"/>
      <c r="H11" s="81" t="s">
        <v>20</v>
      </c>
      <c r="I11" s="90" t="s">
        <v>25</v>
      </c>
      <c r="J11" s="90" t="s">
        <v>26</v>
      </c>
      <c r="K11" s="90" t="s">
        <v>45</v>
      </c>
      <c r="L11" s="90" t="s">
        <v>44</v>
      </c>
      <c r="M11" s="90" t="s">
        <v>46</v>
      </c>
      <c r="N11" s="90" t="s">
        <v>47</v>
      </c>
    </row>
    <row r="12" spans="1:14" ht="16.5" thickBot="1" x14ac:dyDescent="0.3">
      <c r="A12" s="76"/>
      <c r="B12" s="88"/>
      <c r="C12" s="78" t="s">
        <v>21</v>
      </c>
      <c r="D12" s="79"/>
      <c r="E12" s="79"/>
      <c r="F12" s="79"/>
      <c r="G12" s="75" t="s">
        <v>19</v>
      </c>
      <c r="H12" s="82"/>
      <c r="I12" s="90"/>
      <c r="J12" s="90"/>
      <c r="K12" s="90"/>
      <c r="L12" s="90"/>
      <c r="M12" s="90"/>
      <c r="N12" s="90"/>
    </row>
    <row r="13" spans="1:14" ht="16.5" thickBot="1" x14ac:dyDescent="0.3">
      <c r="A13" s="76"/>
      <c r="B13" s="88"/>
      <c r="C13" s="78" t="s">
        <v>30</v>
      </c>
      <c r="D13" s="80"/>
      <c r="E13" s="86" t="s">
        <v>31</v>
      </c>
      <c r="F13" s="86"/>
      <c r="G13" s="85"/>
      <c r="H13" s="83"/>
      <c r="I13" s="90"/>
      <c r="J13" s="90"/>
      <c r="K13" s="90"/>
      <c r="L13" s="90"/>
      <c r="M13" s="90"/>
      <c r="N13" s="90"/>
    </row>
    <row r="14" spans="1:14" ht="16.5" thickBot="1" x14ac:dyDescent="0.3">
      <c r="A14" s="77"/>
      <c r="B14" s="89"/>
      <c r="C14" s="29" t="s">
        <v>32</v>
      </c>
      <c r="D14" s="29" t="s">
        <v>33</v>
      </c>
      <c r="E14" s="29" t="s">
        <v>34</v>
      </c>
      <c r="F14" s="29" t="s">
        <v>33</v>
      </c>
      <c r="G14" s="77"/>
      <c r="H14" s="84"/>
      <c r="I14" s="90"/>
      <c r="J14" s="90"/>
      <c r="K14" s="90"/>
      <c r="L14" s="90"/>
      <c r="M14" s="90"/>
      <c r="N14" s="90"/>
    </row>
    <row r="15" spans="1:14" ht="16.5" thickBot="1" x14ac:dyDescent="0.3">
      <c r="A15" s="40">
        <v>0</v>
      </c>
      <c r="B15" s="40">
        <f>A15-26945</f>
        <v>-26945</v>
      </c>
      <c r="C15" s="29">
        <v>2.5593499999999887E-2</v>
      </c>
      <c r="D15" s="29"/>
      <c r="E15" s="29"/>
      <c r="F15" s="29"/>
      <c r="G15" s="29">
        <v>0</v>
      </c>
      <c r="H15" s="29"/>
      <c r="I15" s="29">
        <f>G15/C15</f>
        <v>0</v>
      </c>
      <c r="J15" s="29">
        <f>G15/0.254</f>
        <v>0</v>
      </c>
    </row>
    <row r="16" spans="1:14" ht="16.5" thickBot="1" x14ac:dyDescent="0.3">
      <c r="A16" s="40">
        <v>8228</v>
      </c>
      <c r="B16" s="40">
        <f t="shared" ref="B16:B35" si="0">A16-26945</f>
        <v>-18717</v>
      </c>
      <c r="C16" s="29">
        <v>3.976669999999987E-2</v>
      </c>
      <c r="D16" s="29"/>
      <c r="E16" s="29"/>
      <c r="F16" s="29"/>
      <c r="G16" s="29">
        <v>3.2887028443834045E-2</v>
      </c>
      <c r="H16" s="29"/>
      <c r="I16" s="29">
        <f t="shared" ref="I16:I25" si="1">G16/C16</f>
        <v>0.8269991838355748</v>
      </c>
      <c r="J16" s="29">
        <f t="shared" ref="J16:J25" si="2">G16/0.254</f>
        <v>0.12947648993635449</v>
      </c>
    </row>
    <row r="17" spans="1:14" ht="16.5" thickBot="1" x14ac:dyDescent="0.3">
      <c r="A17" s="43">
        <f>A18-((A18-A16)*(C18-C17)/(C18-C16))</f>
        <v>26944.924409448609</v>
      </c>
      <c r="B17" s="43">
        <v>0</v>
      </c>
      <c r="C17" s="41">
        <v>0.05</v>
      </c>
      <c r="D17" s="41"/>
      <c r="E17" s="41"/>
      <c r="F17" s="41"/>
      <c r="G17" s="41">
        <f>C17*0.99</f>
        <v>4.9500000000000002E-2</v>
      </c>
      <c r="H17" s="41"/>
      <c r="I17" s="41">
        <f t="shared" si="1"/>
        <v>0.99</v>
      </c>
      <c r="J17" s="41">
        <f t="shared" si="2"/>
        <v>0.19488188976377954</v>
      </c>
    </row>
    <row r="18" spans="1:14" ht="16.5" thickBot="1" x14ac:dyDescent="0.3">
      <c r="A18" s="40">
        <v>33431</v>
      </c>
      <c r="B18" s="40">
        <f t="shared" si="0"/>
        <v>6486</v>
      </c>
      <c r="C18" s="29">
        <v>5.3546200000000203E-2</v>
      </c>
      <c r="D18" s="29"/>
      <c r="E18" s="29"/>
      <c r="F18" s="29"/>
      <c r="G18" s="29">
        <v>5.3179024717688587E-2</v>
      </c>
      <c r="H18" s="29"/>
      <c r="I18" s="29">
        <f t="shared" si="1"/>
        <v>0.99314283212792664</v>
      </c>
      <c r="J18" s="29">
        <f t="shared" si="2"/>
        <v>0.20936623904601806</v>
      </c>
      <c r="K18">
        <f t="shared" ref="K18:K26" si="3">(C18-C17)/(B18-B17)</f>
        <v>5.4674683934631521E-7</v>
      </c>
      <c r="L18">
        <f>(G18-G17)/(B18-B17)</f>
        <v>5.6722551922426539E-7</v>
      </c>
      <c r="M18" s="57">
        <f>AVERAGE(C17:C18)</f>
        <v>5.17731000000001E-2</v>
      </c>
      <c r="N18" s="57">
        <f>AVERAGE(G17:G18)</f>
        <v>5.1339512358844291E-2</v>
      </c>
    </row>
    <row r="19" spans="1:14" ht="16.5" thickBot="1" x14ac:dyDescent="0.3">
      <c r="A19" s="40">
        <v>71368</v>
      </c>
      <c r="B19" s="40">
        <f t="shared" si="0"/>
        <v>44423</v>
      </c>
      <c r="C19" s="29">
        <v>6.8113099999999829E-2</v>
      </c>
      <c r="D19" s="29"/>
      <c r="E19" s="29"/>
      <c r="F19" s="29"/>
      <c r="G19" s="29">
        <v>7.7669365048203959E-2</v>
      </c>
      <c r="H19" s="29"/>
      <c r="I19" s="29">
        <f t="shared" si="1"/>
        <v>1.1402999576910191</v>
      </c>
      <c r="J19" s="29">
        <f t="shared" si="2"/>
        <v>0.30578490176458251</v>
      </c>
      <c r="K19">
        <f t="shared" si="3"/>
        <v>3.8397606558240307E-7</v>
      </c>
      <c r="L19">
        <f>(G19-G18)/(B19-B18)</f>
        <v>6.4555289903037591E-7</v>
      </c>
      <c r="M19" s="57">
        <f t="shared" ref="M19:M34" si="4">AVERAGE(C18:C19)</f>
        <v>6.0829650000000013E-2</v>
      </c>
      <c r="N19" s="57">
        <f t="shared" ref="N19:N25" si="5">AVERAGE(G18:G19)</f>
        <v>6.5424194882946277E-2</v>
      </c>
    </row>
    <row r="20" spans="1:14" ht="16.5" thickBot="1" x14ac:dyDescent="0.3">
      <c r="A20" s="40">
        <v>107326</v>
      </c>
      <c r="B20" s="40">
        <f t="shared" si="0"/>
        <v>80381</v>
      </c>
      <c r="C20" s="29">
        <v>8.3861100000000049E-2</v>
      </c>
      <c r="D20" s="29"/>
      <c r="E20" s="29"/>
      <c r="F20" s="29"/>
      <c r="G20" s="29">
        <v>0.10215970537871834</v>
      </c>
      <c r="H20" s="29"/>
      <c r="I20" s="29">
        <f t="shared" si="1"/>
        <v>1.2182013517437558</v>
      </c>
      <c r="J20" s="29">
        <f t="shared" si="2"/>
        <v>0.40220356448314304</v>
      </c>
      <c r="K20">
        <f t="shared" si="3"/>
        <v>4.3795539240225319E-7</v>
      </c>
      <c r="L20">
        <f>(G20-G19)/(B20-B19)</f>
        <v>6.8108182686785637E-7</v>
      </c>
      <c r="M20" s="57">
        <f t="shared" si="4"/>
        <v>7.5987099999999946E-2</v>
      </c>
      <c r="N20" s="57">
        <f t="shared" si="5"/>
        <v>8.9914535213461155E-2</v>
      </c>
    </row>
    <row r="21" spans="1:14" ht="16.5" thickBot="1" x14ac:dyDescent="0.3">
      <c r="A21" s="40">
        <v>158987</v>
      </c>
      <c r="B21" s="40">
        <f t="shared" si="0"/>
        <v>132042</v>
      </c>
      <c r="C21" s="29">
        <v>0.10000279999999992</v>
      </c>
      <c r="D21" s="29">
        <v>2.6771599999999989E-2</v>
      </c>
      <c r="E21" s="29"/>
      <c r="F21" s="29"/>
      <c r="G21" s="29">
        <v>0.10635804943537816</v>
      </c>
      <c r="H21" s="29"/>
      <c r="I21" s="29">
        <f t="shared" si="1"/>
        <v>1.0635507149337644</v>
      </c>
      <c r="J21" s="29">
        <f t="shared" si="2"/>
        <v>0.41873247809204001</v>
      </c>
      <c r="K21">
        <f t="shared" si="3"/>
        <v>3.124542691779073E-7</v>
      </c>
      <c r="L21">
        <f>(G21-G20)/(B21-B20)</f>
        <v>8.1267185239538964E-8</v>
      </c>
      <c r="M21" s="57">
        <f t="shared" si="4"/>
        <v>9.1931949999999985E-2</v>
      </c>
      <c r="N21" s="57">
        <f>AVERAGE(G20:G21)</f>
        <v>0.10425887740704826</v>
      </c>
    </row>
    <row r="22" spans="1:14" ht="16.5" thickBot="1" x14ac:dyDescent="0.3">
      <c r="A22" s="40">
        <v>217436</v>
      </c>
      <c r="B22" s="40">
        <f t="shared" si="0"/>
        <v>190491</v>
      </c>
      <c r="C22" s="29">
        <v>0.1149634000000003</v>
      </c>
      <c r="D22" s="29">
        <v>4.9606199999999927E-2</v>
      </c>
      <c r="E22" s="29"/>
      <c r="F22" s="29"/>
      <c r="G22" s="29">
        <v>0.11195584151092428</v>
      </c>
      <c r="H22" s="29"/>
      <c r="I22" s="29">
        <f t="shared" si="1"/>
        <v>0.97383899146096919</v>
      </c>
      <c r="J22" s="29">
        <f t="shared" si="2"/>
        <v>0.44077102957056802</v>
      </c>
      <c r="K22">
        <f t="shared" si="3"/>
        <v>2.5595989666205373E-7</v>
      </c>
      <c r="L22">
        <f>(G22-G21)/(B22-B21)</f>
        <v>9.5772247182092339E-8</v>
      </c>
      <c r="M22" s="57">
        <f t="shared" si="4"/>
        <v>0.10748310000000011</v>
      </c>
      <c r="N22" s="57">
        <f t="shared" si="5"/>
        <v>0.10915694547315122</v>
      </c>
    </row>
    <row r="23" spans="1:14" ht="16.5" thickBot="1" x14ac:dyDescent="0.3">
      <c r="A23" s="40">
        <v>281630</v>
      </c>
      <c r="B23" s="40">
        <f t="shared" si="0"/>
        <v>254685</v>
      </c>
      <c r="C23" s="29">
        <v>0.1295302999999999</v>
      </c>
      <c r="D23" s="29">
        <v>7.0865999999999887E-2</v>
      </c>
      <c r="E23" s="29"/>
      <c r="F23" s="29"/>
      <c r="G23" s="29">
        <v>0.12385114967146015</v>
      </c>
      <c r="H23" s="29"/>
      <c r="I23" s="29">
        <f t="shared" si="1"/>
        <v>0.95615581583197318</v>
      </c>
      <c r="J23" s="29">
        <f t="shared" si="2"/>
        <v>0.48760295146244154</v>
      </c>
      <c r="K23">
        <f t="shared" si="3"/>
        <v>2.2691996136709981E-7</v>
      </c>
      <c r="L23">
        <f t="shared" ref="L23:L25" si="6">(G23-G22)/(B23-B22)</f>
        <v>1.8530249183001323E-7</v>
      </c>
      <c r="M23" s="57">
        <f t="shared" si="4"/>
        <v>0.1222468500000001</v>
      </c>
      <c r="N23" s="57">
        <f t="shared" si="5"/>
        <v>0.1179034955911922</v>
      </c>
    </row>
    <row r="24" spans="1:14" ht="16.5" thickBot="1" x14ac:dyDescent="0.3">
      <c r="A24" s="40">
        <v>331605</v>
      </c>
      <c r="B24" s="40">
        <f t="shared" si="0"/>
        <v>304660</v>
      </c>
      <c r="C24" s="29">
        <v>0.14921529999999991</v>
      </c>
      <c r="D24" s="29">
        <v>7.992110000000005E-2</v>
      </c>
      <c r="E24" s="29"/>
      <c r="F24" s="29"/>
      <c r="G24" s="29">
        <v>0.12385114967146114</v>
      </c>
      <c r="H24" s="29"/>
      <c r="I24" s="29">
        <f t="shared" si="1"/>
        <v>0.83001642372773576</v>
      </c>
      <c r="J24" s="29">
        <f t="shared" si="2"/>
        <v>0.48760295146244542</v>
      </c>
      <c r="K24">
        <f t="shared" si="3"/>
        <v>3.9389694847423728E-7</v>
      </c>
      <c r="L24" s="58">
        <v>3.4725920204954671E-6</v>
      </c>
      <c r="M24" s="57">
        <f t="shared" si="4"/>
        <v>0.13937279999999991</v>
      </c>
      <c r="N24" s="58">
        <v>0.18692557483573058</v>
      </c>
    </row>
    <row r="25" spans="1:14" ht="16.5" thickBot="1" x14ac:dyDescent="0.3">
      <c r="A25" s="40">
        <v>367932</v>
      </c>
      <c r="B25" s="40">
        <f t="shared" si="0"/>
        <v>340987</v>
      </c>
      <c r="C25" s="29">
        <v>0.16693180000000002</v>
      </c>
      <c r="D25" s="29">
        <v>8.7795099999999876E-2</v>
      </c>
      <c r="E25" s="29">
        <v>5.9842400000000129E-2</v>
      </c>
      <c r="F25" s="29">
        <v>5.3543199999999978E-2</v>
      </c>
      <c r="G25" s="29">
        <v>0.25</v>
      </c>
      <c r="H25" s="29"/>
      <c r="I25" s="29">
        <f t="shared" si="1"/>
        <v>1.4976175899379265</v>
      </c>
      <c r="J25" s="29">
        <f t="shared" si="2"/>
        <v>0.98425196850393704</v>
      </c>
      <c r="K25">
        <f t="shared" si="3"/>
        <v>4.8769510281609012E-7</v>
      </c>
      <c r="L25">
        <f t="shared" si="6"/>
        <v>3.4725920204954671E-6</v>
      </c>
      <c r="M25" s="57">
        <f t="shared" si="4"/>
        <v>0.15807354999999995</v>
      </c>
      <c r="N25" s="57">
        <f t="shared" si="5"/>
        <v>0.18692557483573058</v>
      </c>
    </row>
    <row r="26" spans="1:14" ht="16.5" thickBot="1" x14ac:dyDescent="0.3">
      <c r="A26" s="40">
        <v>395431</v>
      </c>
      <c r="B26" s="40">
        <f t="shared" si="0"/>
        <v>368486</v>
      </c>
      <c r="C26" s="29">
        <v>0.18622309999999984</v>
      </c>
      <c r="D26" s="29">
        <v>9.4487999999999947E-2</v>
      </c>
      <c r="E26" s="29">
        <v>6.377940000000018E-2</v>
      </c>
      <c r="F26" s="29">
        <v>5.9055000000000003E-2</v>
      </c>
      <c r="G26" s="29"/>
      <c r="H26" s="29"/>
      <c r="I26" s="29"/>
      <c r="J26" s="29"/>
      <c r="K26">
        <f t="shared" si="3"/>
        <v>7.0152732826647572E-7</v>
      </c>
      <c r="M26" s="57">
        <f t="shared" si="4"/>
        <v>0.17657744999999991</v>
      </c>
      <c r="N26" s="57"/>
    </row>
    <row r="27" spans="1:14" ht="16.5" thickBot="1" x14ac:dyDescent="0.3">
      <c r="A27" s="40">
        <v>419466</v>
      </c>
      <c r="B27" s="40">
        <f t="shared" si="0"/>
        <v>392521</v>
      </c>
      <c r="C27" s="29">
        <v>0.20827029999999991</v>
      </c>
      <c r="D27" s="29">
        <v>9.9606100000000045E-2</v>
      </c>
      <c r="E27" s="29">
        <v>6.6929000000000113E-2</v>
      </c>
      <c r="F27" s="29">
        <v>6.2204600000000214E-2</v>
      </c>
      <c r="G27" s="29"/>
      <c r="H27" s="29"/>
      <c r="I27" s="29"/>
      <c r="J27" s="29"/>
      <c r="K27">
        <f t="shared" ref="K27:K34" si="7">(C27-C26)/(B27-B26)</f>
        <v>9.1729561056792474E-7</v>
      </c>
      <c r="M27" s="57">
        <f t="shared" si="4"/>
        <v>0.19724669999999989</v>
      </c>
      <c r="N27" s="57"/>
    </row>
    <row r="28" spans="1:14" ht="16.5" thickBot="1" x14ac:dyDescent="0.3">
      <c r="A28" s="40">
        <v>434132</v>
      </c>
      <c r="B28" s="40">
        <f t="shared" si="0"/>
        <v>407187</v>
      </c>
      <c r="C28" s="29">
        <v>0.22795529999999992</v>
      </c>
      <c r="D28" s="29">
        <v>0.10236200000000006</v>
      </c>
      <c r="E28" s="29">
        <v>6.8503799999999809E-2</v>
      </c>
      <c r="F28" s="29">
        <v>6.5354200000000154E-2</v>
      </c>
      <c r="G28" s="29"/>
      <c r="H28" s="29"/>
      <c r="I28" s="29"/>
      <c r="J28" s="29"/>
      <c r="K28">
        <f t="shared" si="7"/>
        <v>1.3422201009136785E-6</v>
      </c>
      <c r="M28" s="57">
        <f t="shared" si="4"/>
        <v>0.21811279999999991</v>
      </c>
      <c r="N28" s="57"/>
    </row>
    <row r="29" spans="1:14" ht="16.5" thickBot="1" x14ac:dyDescent="0.3">
      <c r="A29" s="40">
        <v>445502</v>
      </c>
      <c r="B29" s="40">
        <f t="shared" si="0"/>
        <v>418557</v>
      </c>
      <c r="C29" s="29">
        <v>0.24764029999999992</v>
      </c>
      <c r="D29" s="29">
        <v>0.10433050000000023</v>
      </c>
      <c r="E29" s="29">
        <v>6.9291199999999928E-2</v>
      </c>
      <c r="F29" s="29">
        <v>6.6929000000000113E-2</v>
      </c>
      <c r="G29" s="29"/>
      <c r="H29" s="29"/>
      <c r="I29" s="29"/>
      <c r="J29" s="29"/>
      <c r="K29">
        <f t="shared" si="7"/>
        <v>1.7313104661389629E-6</v>
      </c>
      <c r="M29" s="57">
        <f t="shared" si="4"/>
        <v>0.23779779999999992</v>
      </c>
      <c r="N29" s="57"/>
    </row>
    <row r="30" spans="1:14" ht="16.5" thickBot="1" x14ac:dyDescent="0.3">
      <c r="A30" s="40">
        <v>453821</v>
      </c>
      <c r="B30" s="40">
        <f t="shared" si="0"/>
        <v>426876</v>
      </c>
      <c r="C30" s="29">
        <v>0.27047489999999985</v>
      </c>
      <c r="D30" s="29">
        <v>0.1055116</v>
      </c>
      <c r="E30" s="29">
        <v>6.9291199999999928E-2</v>
      </c>
      <c r="F30" s="29">
        <v>6.9684899999999841E-2</v>
      </c>
      <c r="G30" s="29"/>
      <c r="H30" s="29"/>
      <c r="I30" s="29"/>
      <c r="J30" s="29"/>
      <c r="K30">
        <f t="shared" si="7"/>
        <v>2.7448731818728126E-6</v>
      </c>
      <c r="M30" s="57">
        <f t="shared" si="4"/>
        <v>0.25905759999999989</v>
      </c>
      <c r="N30" s="57"/>
    </row>
    <row r="31" spans="1:14" ht="16.5" thickBot="1" x14ac:dyDescent="0.3">
      <c r="A31" s="40">
        <v>460111</v>
      </c>
      <c r="B31" s="40">
        <f t="shared" si="0"/>
        <v>433166</v>
      </c>
      <c r="C31" s="29">
        <v>0.30315199999999981</v>
      </c>
      <c r="D31" s="29">
        <v>0</v>
      </c>
      <c r="E31" s="29">
        <v>0</v>
      </c>
      <c r="F31" s="29">
        <v>0</v>
      </c>
      <c r="G31" s="29"/>
      <c r="H31" s="29"/>
      <c r="I31" s="29"/>
      <c r="J31" s="29"/>
      <c r="K31">
        <f t="shared" si="7"/>
        <v>5.1950874403815517E-6</v>
      </c>
      <c r="M31" s="57">
        <f t="shared" si="4"/>
        <v>0.2868134499999998</v>
      </c>
      <c r="N31" s="57"/>
    </row>
    <row r="32" spans="1:14" ht="16.5" thickBot="1" x14ac:dyDescent="0.3">
      <c r="A32" s="40">
        <v>467074</v>
      </c>
      <c r="B32" s="40">
        <f t="shared" si="0"/>
        <v>440129</v>
      </c>
      <c r="C32" s="29">
        <v>0.34488419999999986</v>
      </c>
      <c r="D32" s="29">
        <v>0</v>
      </c>
      <c r="E32" s="29">
        <v>0</v>
      </c>
      <c r="F32" s="29">
        <v>0</v>
      </c>
      <c r="G32" s="29"/>
      <c r="H32" s="29"/>
      <c r="I32" s="29"/>
      <c r="J32" s="29"/>
      <c r="K32">
        <f t="shared" si="7"/>
        <v>5.9934223754129045E-6</v>
      </c>
      <c r="M32" s="57">
        <f t="shared" si="4"/>
        <v>0.32401809999999986</v>
      </c>
    </row>
    <row r="33" spans="1:13" ht="16.5" thickBot="1" x14ac:dyDescent="0.3">
      <c r="A33" s="40">
        <v>473092</v>
      </c>
      <c r="B33" s="40">
        <f t="shared" si="0"/>
        <v>446147</v>
      </c>
      <c r="C33" s="29">
        <v>0.40984470000000012</v>
      </c>
      <c r="D33" s="29">
        <v>0</v>
      </c>
      <c r="E33" s="29">
        <v>0</v>
      </c>
      <c r="F33" s="29">
        <v>0</v>
      </c>
      <c r="G33" s="29"/>
      <c r="H33" s="29"/>
      <c r="I33" s="29"/>
      <c r="J33" s="29"/>
      <c r="K33">
        <f t="shared" si="7"/>
        <v>1.0794366899302136E-5</v>
      </c>
      <c r="M33" s="57">
        <f t="shared" si="4"/>
        <v>0.37736444999999996</v>
      </c>
    </row>
    <row r="34" spans="1:13" ht="16.5" thickBot="1" x14ac:dyDescent="0.3">
      <c r="A34" s="40">
        <v>477284</v>
      </c>
      <c r="B34" s="40">
        <f t="shared" si="0"/>
        <v>450339</v>
      </c>
      <c r="C34" s="29">
        <v>0.49921459999999995</v>
      </c>
      <c r="D34" s="29">
        <v>0.11181080000000014</v>
      </c>
      <c r="E34" s="29">
        <v>7.7558899999999958E-2</v>
      </c>
      <c r="F34" s="29">
        <v>7.165340000000002E-2</v>
      </c>
      <c r="G34" s="29"/>
      <c r="H34" s="29"/>
      <c r="I34" s="29"/>
      <c r="J34" s="29"/>
      <c r="K34">
        <f t="shared" si="7"/>
        <v>2.1319155534351105E-5</v>
      </c>
      <c r="M34" s="57">
        <f t="shared" si="4"/>
        <v>0.45452965000000001</v>
      </c>
    </row>
    <row r="35" spans="1:13" ht="16.5" thickBot="1" x14ac:dyDescent="0.3">
      <c r="A35" s="40">
        <v>479727</v>
      </c>
      <c r="B35" s="40">
        <f t="shared" si="0"/>
        <v>452782</v>
      </c>
      <c r="C35" s="29">
        <v>0.64173400000000025</v>
      </c>
      <c r="D35" s="29">
        <v>0.11574779999999991</v>
      </c>
      <c r="E35" s="29">
        <v>0.53385720000000003</v>
      </c>
      <c r="F35" s="29">
        <v>7.3621899999999907E-2</v>
      </c>
      <c r="G35" s="29"/>
      <c r="H35" s="29"/>
      <c r="I35" s="29"/>
      <c r="J35" s="29"/>
    </row>
  </sheetData>
  <mergeCells count="14">
    <mergeCell ref="K11:K14"/>
    <mergeCell ref="L11:L14"/>
    <mergeCell ref="M11:M14"/>
    <mergeCell ref="N11:N14"/>
    <mergeCell ref="J11:J14"/>
    <mergeCell ref="C12:F12"/>
    <mergeCell ref="G12:G14"/>
    <mergeCell ref="C13:D13"/>
    <mergeCell ref="E13:F13"/>
    <mergeCell ref="A11:A14"/>
    <mergeCell ref="B11:B14"/>
    <mergeCell ref="C11:G11"/>
    <mergeCell ref="H11:H14"/>
    <mergeCell ref="I11:I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Charts</vt:lpstr>
      </vt:variant>
      <vt:variant>
        <vt:i4>8</vt:i4>
      </vt:variant>
    </vt:vector>
  </HeadingPairs>
  <TitlesOfParts>
    <vt:vector size="28" baseType="lpstr">
      <vt:lpstr>Matrix</vt:lpstr>
      <vt:lpstr>NCX2024-3</vt:lpstr>
      <vt:lpstr>NCX2024-4</vt:lpstr>
      <vt:lpstr>CX2024-2</vt:lpstr>
      <vt:lpstr>CX2024-4</vt:lpstr>
      <vt:lpstr>CX2024-5</vt:lpstr>
      <vt:lpstr>CX2024-6</vt:lpstr>
      <vt:lpstr>CX2024-11</vt:lpstr>
      <vt:lpstr>CX2024-12</vt:lpstr>
      <vt:lpstr>CX2024-13</vt:lpstr>
      <vt:lpstr>CX2024-14</vt:lpstr>
      <vt:lpstr>CX2024-15</vt:lpstr>
      <vt:lpstr>OFF-NCX2024-1</vt:lpstr>
      <vt:lpstr>OFF-NCX2024-2</vt:lpstr>
      <vt:lpstr>OFF-NCX2024-3</vt:lpstr>
      <vt:lpstr>OFF-NCX2024-4</vt:lpstr>
      <vt:lpstr>OFF-CX2024-3</vt:lpstr>
      <vt:lpstr>OFF-CX2024-4</vt:lpstr>
      <vt:lpstr>OFF-CX2024-7</vt:lpstr>
      <vt:lpstr>OFF-CX2024-8</vt:lpstr>
      <vt:lpstr>Case 1 Plots</vt:lpstr>
      <vt:lpstr>Case 1 Aspect Ratio</vt:lpstr>
      <vt:lpstr>Case 2 Plots</vt:lpstr>
      <vt:lpstr>Case 2 Aspect Ratio</vt:lpstr>
      <vt:lpstr>Case 3 Plots</vt:lpstr>
      <vt:lpstr>Case 3 Aspect Ratio</vt:lpstr>
      <vt:lpstr>Case 3 Plots a-direction</vt:lpstr>
      <vt:lpstr>Case 4 Plots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Pilarczyk</dc:creator>
  <cp:lastModifiedBy>Robert Pilarczyk</cp:lastModifiedBy>
  <dcterms:created xsi:type="dcterms:W3CDTF">2017-02-23T20:27:08Z</dcterms:created>
  <dcterms:modified xsi:type="dcterms:W3CDTF">2020-09-30T14:23:02Z</dcterms:modified>
</cp:coreProperties>
</file>